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6"/>
  <workbookPr codeName="ThisWorkbook"/>
  <mc:AlternateContent xmlns:mc="http://schemas.openxmlformats.org/markup-compatibility/2006">
    <mc:Choice Requires="x15">
      <x15ac:absPath xmlns:x15ac="http://schemas.microsoft.com/office/spreadsheetml/2010/11/ac" url="N:\Proyectos\CONSULTORÍA\FEMP_Planes altas temperaturas\3 – VERSIONES FORMULARIOS\Herramienta\"/>
    </mc:Choice>
  </mc:AlternateContent>
  <xr:revisionPtr revIDLastSave="4" documentId="13_ncr:1_{33D471F0-7A15-4BD6-AF03-EA17B0D7350A}" xr6:coauthVersionLast="47" xr6:coauthVersionMax="47" xr10:uidLastSave="{802A4F66-6F79-45B4-80B1-733D8A02201A}"/>
  <workbookProtection workbookAlgorithmName="SHA-512" workbookHashValue="qEOn1IzEHjfZd1cAGx0p7CPufe4v+qum/e38aj2j1+cYWKA7tZvuZgsbPKHXMBYnQzl/RE+TfuKjXXSgf4k2UQ==" workbookSaltValue="QWFF2IRFk+MC60ljxjo5XQ==" workbookSpinCount="100000" lockStructure="1"/>
  <bookViews>
    <workbookView xWindow="28680" yWindow="-120" windowWidth="29040" windowHeight="15720" tabRatio="669" firstSheet="4" xr2:uid="{67F3D033-A202-4946-8FEB-517C1C239642}"/>
  </bookViews>
  <sheets>
    <sheet name="0.PORTADA" sheetId="1" r:id="rId1"/>
    <sheet name="1.PERFIL_MUNICIPIO" sheetId="4" r:id="rId2"/>
    <sheet name="2.PONDERACIÓN" sheetId="9" r:id="rId3"/>
    <sheet name="3.RESULTADOS" sheetId="2" r:id="rId4"/>
    <sheet name="4.CATALOGO_MEDIDAS" sheetId="8" r:id="rId5"/>
  </sheets>
  <externalReferences>
    <externalReference r:id="rId6"/>
  </externalReferences>
  <definedNames>
    <definedName name="_xlnm._FilterDatabase" localSheetId="3" hidden="1">'3.RESULTADOS'!$M$13:$P$31</definedName>
    <definedName name="_xlnm.Print_Area" localSheetId="1">'1.PERFIL_MUNICIPIO'!$B$1:$K$28</definedName>
    <definedName name="_xlnm.Print_Area" localSheetId="2">'2.PONDERACIÓN'!$B$1:$H$24</definedName>
    <definedName name="_xlnm.Print_Area" localSheetId="3">'3.RESULTADOS'!$D$8:$K$150,'3.RESULTADOS'!$M$8:$Q$88</definedName>
    <definedName name="_xlnm.Print_Area" localSheetId="4">'4.CATALOGO_MEDIDAS'!$B$1:$BS$160</definedName>
    <definedName name="Centros_salud">'1.PERFIL_MUNICIPIO'!$F$16</definedName>
    <definedName name="Edificios">'1.PERFIL_MUNICIPIO'!$F$17</definedName>
    <definedName name="Escuelas">'1.PERFIL_MUNICIPIO'!$F$22</definedName>
    <definedName name="Opcional__Ajuste_las_preferencias_Ponderación_de_criterios_según_prioridades">'0.PORTADA'!$D$15</definedName>
    <definedName name="Piscinas">'1.PERFIL_MUNICIPIO'!$F$18</definedName>
    <definedName name="Playas">'1.PERFIL_MUNICIPIO'!$F$19</definedName>
    <definedName name="Ríos">'1.PERFIL_MUNICIPIO'!$F$20</definedName>
    <definedName name="SegmentaciónDeDatos_Coordinación">#N/A</definedName>
    <definedName name="SegmentaciónDeDatos_Coste">#N/A</definedName>
    <definedName name="SegmentaciónDeDatos_Cultura">#N/A</definedName>
    <definedName name="SegmentaciónDeDatos_Edificios">#N/A</definedName>
    <definedName name="SegmentaciónDeDatos_Educación">#N/A</definedName>
    <definedName name="SegmentaciónDeDatos_Emergencia">#N/A</definedName>
    <definedName name="SegmentaciónDeDatos_Nº_Areas">#N/A</definedName>
    <definedName name="SegmentaciónDeDatos_Ocupación">#N/A</definedName>
    <definedName name="SegmentaciónDeDatos_Parques">#N/A</definedName>
    <definedName name="SegmentaciónDeDatos_Riesgos">#N/A</definedName>
    <definedName name="SegmentaciónDeDatos_Social">#N/A</definedName>
    <definedName name="SegmentaciónDeDatos_Tipo_Medida">#N/A</definedName>
    <definedName name="SegmentaciónDeDatos_Transporte">#N/A</definedName>
    <definedName name="SegmentaciónDeDatos_Turismo">#N/A</definedName>
    <definedName name="SegmentaciónDeDatos_Urban">#N/A</definedName>
    <definedName name="Transporte">'1.PERFIL_MUNICIPIO'!$F$21</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7"/>
        <x14:slicerCache r:id="rId8"/>
        <x14:slicerCache r:id="rId9"/>
        <x14:slicerCache r:id="rId10"/>
        <x14:slicerCache r:id="rId11"/>
        <x14:slicerCache r:id="rId12"/>
        <x14:slicerCache r:id="rId13"/>
        <x14:slicerCache r:id="rId14"/>
        <x14:slicerCache r:id="rId15"/>
        <x14:slicerCache r:id="rId16"/>
        <x14:slicerCache r:id="rId17"/>
        <x14:slicerCache r:id="rId18"/>
        <x14:slicerCache r:id="rId19"/>
        <x14:slicerCache r:id="rId20"/>
        <x14:slicerCache r:id="rId21"/>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2" l="1"/>
  <c r="Z22" i="8"/>
  <c r="BD15" i="8"/>
  <c r="BC15" i="8"/>
  <c r="BB15" i="8"/>
  <c r="BA15" i="8"/>
  <c r="AZ15" i="8"/>
  <c r="AT158" i="8"/>
  <c r="AT157" i="8"/>
  <c r="AT156" i="8"/>
  <c r="AT155" i="8"/>
  <c r="AT154" i="8"/>
  <c r="AT153" i="8"/>
  <c r="AT152" i="8"/>
  <c r="AT151" i="8"/>
  <c r="AT150" i="8"/>
  <c r="AT149" i="8"/>
  <c r="AT148" i="8"/>
  <c r="AT147" i="8"/>
  <c r="AT146" i="8"/>
  <c r="AT145" i="8"/>
  <c r="AT144" i="8"/>
  <c r="AT143" i="8"/>
  <c r="AT142" i="8"/>
  <c r="AT141" i="8"/>
  <c r="AT140" i="8"/>
  <c r="AT139" i="8"/>
  <c r="AT138" i="8"/>
  <c r="AT137" i="8"/>
  <c r="AT136" i="8"/>
  <c r="AT135" i="8"/>
  <c r="AT134" i="8"/>
  <c r="AT133" i="8"/>
  <c r="AT132" i="8"/>
  <c r="AT131" i="8"/>
  <c r="AT130" i="8"/>
  <c r="AT129" i="8"/>
  <c r="AT128" i="8"/>
  <c r="AT127" i="8"/>
  <c r="AT126" i="8"/>
  <c r="AT125" i="8"/>
  <c r="AT124" i="8"/>
  <c r="AT123" i="8"/>
  <c r="AT122" i="8"/>
  <c r="AT121" i="8"/>
  <c r="AT120" i="8"/>
  <c r="AT119" i="8"/>
  <c r="AT118" i="8"/>
  <c r="AT117" i="8"/>
  <c r="AT116" i="8"/>
  <c r="AT115" i="8"/>
  <c r="AT114" i="8"/>
  <c r="AT113" i="8"/>
  <c r="AT112" i="8"/>
  <c r="AT111" i="8"/>
  <c r="AT110" i="8"/>
  <c r="AT109" i="8"/>
  <c r="AT108" i="8"/>
  <c r="AT107" i="8"/>
  <c r="AT106" i="8"/>
  <c r="AT105" i="8"/>
  <c r="AT104" i="8"/>
  <c r="AT103" i="8"/>
  <c r="AT102" i="8"/>
  <c r="AT101" i="8"/>
  <c r="AT100" i="8"/>
  <c r="AT99" i="8"/>
  <c r="AT98" i="8"/>
  <c r="AT97" i="8"/>
  <c r="AT96" i="8"/>
  <c r="AT95" i="8"/>
  <c r="AT94" i="8"/>
  <c r="AT93" i="8"/>
  <c r="AT92" i="8"/>
  <c r="AT91" i="8"/>
  <c r="AT90" i="8"/>
  <c r="AT89" i="8"/>
  <c r="AT88" i="8"/>
  <c r="AT87" i="8"/>
  <c r="AT86" i="8"/>
  <c r="AT85" i="8"/>
  <c r="AT84" i="8"/>
  <c r="AT83" i="8"/>
  <c r="AT82" i="8"/>
  <c r="AT81" i="8"/>
  <c r="AT80" i="8"/>
  <c r="AT79" i="8"/>
  <c r="AT78" i="8"/>
  <c r="AT77" i="8"/>
  <c r="AT76" i="8"/>
  <c r="AT75" i="8"/>
  <c r="AT74" i="8"/>
  <c r="AT73" i="8"/>
  <c r="AT72" i="8"/>
  <c r="AT71" i="8"/>
  <c r="AT70" i="8"/>
  <c r="AT69" i="8"/>
  <c r="AT68" i="8"/>
  <c r="AT67" i="8"/>
  <c r="AT66" i="8"/>
  <c r="AT65" i="8"/>
  <c r="AT64" i="8"/>
  <c r="AT63" i="8"/>
  <c r="AT62" i="8"/>
  <c r="AT61" i="8"/>
  <c r="AT60" i="8"/>
  <c r="AT59" i="8"/>
  <c r="AT58" i="8"/>
  <c r="AT57" i="8"/>
  <c r="AT56" i="8"/>
  <c r="AT55" i="8"/>
  <c r="AT54" i="8"/>
  <c r="AT53" i="8"/>
  <c r="AT52" i="8"/>
  <c r="AT51" i="8"/>
  <c r="AT50" i="8"/>
  <c r="AT49" i="8"/>
  <c r="AT48" i="8"/>
  <c r="AT47" i="8"/>
  <c r="AT46" i="8"/>
  <c r="AT45" i="8"/>
  <c r="AT44" i="8"/>
  <c r="AT43" i="8"/>
  <c r="AT42" i="8"/>
  <c r="AT41" i="8"/>
  <c r="AT40" i="8"/>
  <c r="AT39" i="8"/>
  <c r="AT38" i="8"/>
  <c r="AT37" i="8"/>
  <c r="AT36" i="8"/>
  <c r="AT35" i="8"/>
  <c r="AT34" i="8"/>
  <c r="AT33" i="8"/>
  <c r="AT32" i="8"/>
  <c r="AT31" i="8"/>
  <c r="AT30" i="8"/>
  <c r="AT29" i="8"/>
  <c r="AT28" i="8"/>
  <c r="AT27" i="8"/>
  <c r="AT26" i="8"/>
  <c r="AT25" i="8"/>
  <c r="AT24" i="8"/>
  <c r="AT23" i="8"/>
  <c r="AT22" i="8"/>
  <c r="AT21" i="8"/>
  <c r="AT20" i="8"/>
  <c r="AT19" i="8"/>
  <c r="AT18" i="8"/>
  <c r="AR158" i="8"/>
  <c r="AR157" i="8"/>
  <c r="AR156" i="8"/>
  <c r="AR155" i="8"/>
  <c r="AR154" i="8"/>
  <c r="AR153" i="8"/>
  <c r="AR152" i="8"/>
  <c r="AR151" i="8"/>
  <c r="AR150" i="8"/>
  <c r="AR149" i="8"/>
  <c r="AR148" i="8"/>
  <c r="AR147" i="8"/>
  <c r="AR146" i="8"/>
  <c r="AR145" i="8"/>
  <c r="AR144" i="8"/>
  <c r="AR143" i="8"/>
  <c r="AR142" i="8"/>
  <c r="AR141" i="8"/>
  <c r="AR140" i="8"/>
  <c r="AR139" i="8"/>
  <c r="AR138" i="8"/>
  <c r="AR137" i="8"/>
  <c r="AR136" i="8"/>
  <c r="AR135" i="8"/>
  <c r="AR134" i="8"/>
  <c r="AR133" i="8"/>
  <c r="AR132" i="8"/>
  <c r="AR131" i="8"/>
  <c r="AR130" i="8"/>
  <c r="AR129" i="8"/>
  <c r="AR128" i="8"/>
  <c r="AR127" i="8"/>
  <c r="AR126" i="8"/>
  <c r="AR125" i="8"/>
  <c r="AR124" i="8"/>
  <c r="AR123" i="8"/>
  <c r="AR122" i="8"/>
  <c r="AR121" i="8"/>
  <c r="AR120" i="8"/>
  <c r="AR119" i="8"/>
  <c r="AR118" i="8"/>
  <c r="AR117" i="8"/>
  <c r="AR116" i="8"/>
  <c r="AR115" i="8"/>
  <c r="AR114" i="8"/>
  <c r="AR113" i="8"/>
  <c r="AR112" i="8"/>
  <c r="AR111" i="8"/>
  <c r="AR110" i="8"/>
  <c r="AR109" i="8"/>
  <c r="AR108" i="8"/>
  <c r="AR107" i="8"/>
  <c r="AR106" i="8"/>
  <c r="AR105" i="8"/>
  <c r="AR104" i="8"/>
  <c r="AR103" i="8"/>
  <c r="AR102" i="8"/>
  <c r="AR101" i="8"/>
  <c r="AR100" i="8"/>
  <c r="AR99" i="8"/>
  <c r="AR98" i="8"/>
  <c r="AR97" i="8"/>
  <c r="AR96" i="8"/>
  <c r="AR95" i="8"/>
  <c r="AR94" i="8"/>
  <c r="AR93" i="8"/>
  <c r="AR92" i="8"/>
  <c r="AR91" i="8"/>
  <c r="AR90" i="8"/>
  <c r="AR89" i="8"/>
  <c r="AR88" i="8"/>
  <c r="AR87" i="8"/>
  <c r="AR86" i="8"/>
  <c r="AR85" i="8"/>
  <c r="AR84" i="8"/>
  <c r="AR83" i="8"/>
  <c r="AR82" i="8"/>
  <c r="AR81" i="8"/>
  <c r="AR80" i="8"/>
  <c r="AR79" i="8"/>
  <c r="AR78" i="8"/>
  <c r="AR77" i="8"/>
  <c r="AR76" i="8"/>
  <c r="AR75" i="8"/>
  <c r="AR74" i="8"/>
  <c r="AR73" i="8"/>
  <c r="AR72" i="8"/>
  <c r="AR71" i="8"/>
  <c r="AR70" i="8"/>
  <c r="AR69" i="8"/>
  <c r="AR68" i="8"/>
  <c r="AR67" i="8"/>
  <c r="AR66" i="8"/>
  <c r="AR65" i="8"/>
  <c r="AR64" i="8"/>
  <c r="AR63" i="8"/>
  <c r="AR62" i="8"/>
  <c r="AR61" i="8"/>
  <c r="AR60" i="8"/>
  <c r="AR59" i="8"/>
  <c r="AR58" i="8"/>
  <c r="AR57" i="8"/>
  <c r="AR56" i="8"/>
  <c r="AR55" i="8"/>
  <c r="AR54" i="8"/>
  <c r="AR53" i="8"/>
  <c r="AR52" i="8"/>
  <c r="AR51" i="8"/>
  <c r="AR50" i="8"/>
  <c r="AR49" i="8"/>
  <c r="AR48" i="8"/>
  <c r="AR47" i="8"/>
  <c r="AR46" i="8"/>
  <c r="AR45" i="8"/>
  <c r="AR44" i="8"/>
  <c r="AR43" i="8"/>
  <c r="AR42" i="8"/>
  <c r="AR41" i="8"/>
  <c r="AR40" i="8"/>
  <c r="AR39" i="8"/>
  <c r="AR38" i="8"/>
  <c r="AR37" i="8"/>
  <c r="AR36" i="8"/>
  <c r="AR35" i="8"/>
  <c r="AR34" i="8"/>
  <c r="AR33" i="8"/>
  <c r="AR32" i="8"/>
  <c r="AR31" i="8"/>
  <c r="AR30" i="8"/>
  <c r="AR29" i="8"/>
  <c r="AR28" i="8"/>
  <c r="AR27" i="8"/>
  <c r="AR26" i="8"/>
  <c r="AR25" i="8"/>
  <c r="AR24" i="8"/>
  <c r="AR23" i="8"/>
  <c r="AR22" i="8"/>
  <c r="AR21" i="8"/>
  <c r="AR20" i="8"/>
  <c r="AR19" i="8"/>
  <c r="AR18" i="8"/>
  <c r="AP158" i="8"/>
  <c r="AP157" i="8"/>
  <c r="AP156" i="8"/>
  <c r="AP155" i="8"/>
  <c r="AP154" i="8"/>
  <c r="AP153" i="8"/>
  <c r="AP152" i="8"/>
  <c r="AP151" i="8"/>
  <c r="AP150" i="8"/>
  <c r="AP149" i="8"/>
  <c r="AP148" i="8"/>
  <c r="AP147" i="8"/>
  <c r="AP146" i="8"/>
  <c r="AP145" i="8"/>
  <c r="AP144" i="8"/>
  <c r="AP143" i="8"/>
  <c r="AP142" i="8"/>
  <c r="AP141" i="8"/>
  <c r="AP140" i="8"/>
  <c r="AP139" i="8"/>
  <c r="AP138" i="8"/>
  <c r="AP137" i="8"/>
  <c r="AP136" i="8"/>
  <c r="AP135" i="8"/>
  <c r="AP134" i="8"/>
  <c r="AP133" i="8"/>
  <c r="AP132" i="8"/>
  <c r="AP131" i="8"/>
  <c r="AP130" i="8"/>
  <c r="AP129" i="8"/>
  <c r="AP128" i="8"/>
  <c r="AP127" i="8"/>
  <c r="AP126" i="8"/>
  <c r="AP125" i="8"/>
  <c r="AP124" i="8"/>
  <c r="AP123" i="8"/>
  <c r="AP122" i="8"/>
  <c r="AP121" i="8"/>
  <c r="AP120" i="8"/>
  <c r="AP119" i="8"/>
  <c r="AP118" i="8"/>
  <c r="AP117" i="8"/>
  <c r="AP116" i="8"/>
  <c r="AP115" i="8"/>
  <c r="AP114" i="8"/>
  <c r="AP113" i="8"/>
  <c r="AP112" i="8"/>
  <c r="AP111" i="8"/>
  <c r="AP110" i="8"/>
  <c r="AP109" i="8"/>
  <c r="AP108" i="8"/>
  <c r="AP107" i="8"/>
  <c r="AP106" i="8"/>
  <c r="AP105" i="8"/>
  <c r="AP104" i="8"/>
  <c r="AP103" i="8"/>
  <c r="AP102" i="8"/>
  <c r="AP101" i="8"/>
  <c r="AP100" i="8"/>
  <c r="AP99" i="8"/>
  <c r="AP98" i="8"/>
  <c r="AP97" i="8"/>
  <c r="AP96" i="8"/>
  <c r="AP95" i="8"/>
  <c r="AP94" i="8"/>
  <c r="AP93" i="8"/>
  <c r="AP92" i="8"/>
  <c r="AP91" i="8"/>
  <c r="AP90" i="8"/>
  <c r="AP89" i="8"/>
  <c r="AP88" i="8"/>
  <c r="AP87" i="8"/>
  <c r="AP86" i="8"/>
  <c r="AP85" i="8"/>
  <c r="AP84" i="8"/>
  <c r="AP83" i="8"/>
  <c r="AP82" i="8"/>
  <c r="AP81" i="8"/>
  <c r="AP80" i="8"/>
  <c r="AP79" i="8"/>
  <c r="AP78" i="8"/>
  <c r="AP77" i="8"/>
  <c r="AP76" i="8"/>
  <c r="AP75" i="8"/>
  <c r="AP74" i="8"/>
  <c r="AP73" i="8"/>
  <c r="AP72" i="8"/>
  <c r="AP71" i="8"/>
  <c r="AP70" i="8"/>
  <c r="AP69" i="8"/>
  <c r="AP68" i="8"/>
  <c r="AP67" i="8"/>
  <c r="AP66" i="8"/>
  <c r="AP65" i="8"/>
  <c r="AP64" i="8"/>
  <c r="AP63" i="8"/>
  <c r="AP62" i="8"/>
  <c r="AP61" i="8"/>
  <c r="AP60" i="8"/>
  <c r="AP59" i="8"/>
  <c r="AP58" i="8"/>
  <c r="AP57" i="8"/>
  <c r="AP56" i="8"/>
  <c r="AP55" i="8"/>
  <c r="AP54" i="8"/>
  <c r="AP53" i="8"/>
  <c r="AP52" i="8"/>
  <c r="AP51" i="8"/>
  <c r="AP50" i="8"/>
  <c r="AP49" i="8"/>
  <c r="AP48" i="8"/>
  <c r="AP47" i="8"/>
  <c r="AP46" i="8"/>
  <c r="AP45" i="8"/>
  <c r="AP44" i="8"/>
  <c r="AP43" i="8"/>
  <c r="AP42" i="8"/>
  <c r="AP41" i="8"/>
  <c r="AP40" i="8"/>
  <c r="AP39" i="8"/>
  <c r="AP38" i="8"/>
  <c r="AP37" i="8"/>
  <c r="AP36" i="8"/>
  <c r="AP35" i="8"/>
  <c r="AP34" i="8"/>
  <c r="AP33" i="8"/>
  <c r="AP32" i="8"/>
  <c r="AP31" i="8"/>
  <c r="AP30" i="8"/>
  <c r="AP29" i="8"/>
  <c r="AP28" i="8"/>
  <c r="AP27" i="8"/>
  <c r="AP26" i="8"/>
  <c r="AP25" i="8"/>
  <c r="AP24" i="8"/>
  <c r="AP23" i="8"/>
  <c r="AP22" i="8"/>
  <c r="AP21" i="8"/>
  <c r="AP20" i="8"/>
  <c r="AP19" i="8"/>
  <c r="AP18" i="8"/>
  <c r="AN158" i="8"/>
  <c r="AN157" i="8"/>
  <c r="AN156" i="8"/>
  <c r="AN155" i="8"/>
  <c r="AN154" i="8"/>
  <c r="AN153" i="8"/>
  <c r="AN152" i="8"/>
  <c r="AN151" i="8"/>
  <c r="AN150" i="8"/>
  <c r="AN149" i="8"/>
  <c r="AN148" i="8"/>
  <c r="AN147" i="8"/>
  <c r="AN146" i="8"/>
  <c r="AN145" i="8"/>
  <c r="AN144" i="8"/>
  <c r="AN143" i="8"/>
  <c r="AN142" i="8"/>
  <c r="AN141" i="8"/>
  <c r="AN140" i="8"/>
  <c r="AN139" i="8"/>
  <c r="AN138" i="8"/>
  <c r="AN137" i="8"/>
  <c r="AN136" i="8"/>
  <c r="AN135" i="8"/>
  <c r="AN134" i="8"/>
  <c r="AN133" i="8"/>
  <c r="AN132" i="8"/>
  <c r="AN131" i="8"/>
  <c r="AN130" i="8"/>
  <c r="AN129" i="8"/>
  <c r="AN128" i="8"/>
  <c r="AN127" i="8"/>
  <c r="AN126" i="8"/>
  <c r="AN125" i="8"/>
  <c r="AN124" i="8"/>
  <c r="AN123" i="8"/>
  <c r="AN122" i="8"/>
  <c r="AN121" i="8"/>
  <c r="AN120" i="8"/>
  <c r="AN119" i="8"/>
  <c r="AN118" i="8"/>
  <c r="AN117" i="8"/>
  <c r="AN116" i="8"/>
  <c r="AN115" i="8"/>
  <c r="AN114" i="8"/>
  <c r="AN113" i="8"/>
  <c r="AN112" i="8"/>
  <c r="AN111" i="8"/>
  <c r="AN110" i="8"/>
  <c r="AN109" i="8"/>
  <c r="AN108" i="8"/>
  <c r="AN107" i="8"/>
  <c r="AN106" i="8"/>
  <c r="AN105" i="8"/>
  <c r="AN104" i="8"/>
  <c r="AN103" i="8"/>
  <c r="AN102" i="8"/>
  <c r="AN101" i="8"/>
  <c r="AN100" i="8"/>
  <c r="AN99" i="8"/>
  <c r="AN98" i="8"/>
  <c r="AN97" i="8"/>
  <c r="AN96" i="8"/>
  <c r="AN95" i="8"/>
  <c r="AN94" i="8"/>
  <c r="AN93" i="8"/>
  <c r="AN92" i="8"/>
  <c r="AN91" i="8"/>
  <c r="AN90" i="8"/>
  <c r="AN89" i="8"/>
  <c r="AN88" i="8"/>
  <c r="AN87" i="8"/>
  <c r="AN86" i="8"/>
  <c r="AN85" i="8"/>
  <c r="AN84" i="8"/>
  <c r="AN83" i="8"/>
  <c r="AN82" i="8"/>
  <c r="AN81" i="8"/>
  <c r="AN80" i="8"/>
  <c r="AN79" i="8"/>
  <c r="AN78" i="8"/>
  <c r="AN77" i="8"/>
  <c r="AN76" i="8"/>
  <c r="AN75" i="8"/>
  <c r="AN74" i="8"/>
  <c r="AN73" i="8"/>
  <c r="AN72" i="8"/>
  <c r="AN71" i="8"/>
  <c r="AN70" i="8"/>
  <c r="AN69" i="8"/>
  <c r="AN68" i="8"/>
  <c r="AN67" i="8"/>
  <c r="AN66" i="8"/>
  <c r="AN65" i="8"/>
  <c r="AN64" i="8"/>
  <c r="AN63" i="8"/>
  <c r="AN62" i="8"/>
  <c r="AN61" i="8"/>
  <c r="AN60" i="8"/>
  <c r="AN59" i="8"/>
  <c r="AN58" i="8"/>
  <c r="AN57" i="8"/>
  <c r="AN56" i="8"/>
  <c r="AN55" i="8"/>
  <c r="AN54" i="8"/>
  <c r="AN53" i="8"/>
  <c r="AN52" i="8"/>
  <c r="AN51" i="8"/>
  <c r="AN50" i="8"/>
  <c r="AN49" i="8"/>
  <c r="AN48" i="8"/>
  <c r="AN47" i="8"/>
  <c r="AN46" i="8"/>
  <c r="AN45" i="8"/>
  <c r="AN44" i="8"/>
  <c r="AN43" i="8"/>
  <c r="AN42" i="8"/>
  <c r="AN41" i="8"/>
  <c r="AN40" i="8"/>
  <c r="AN39" i="8"/>
  <c r="AN38" i="8"/>
  <c r="AN37" i="8"/>
  <c r="AN36" i="8"/>
  <c r="AN35" i="8"/>
  <c r="AN34" i="8"/>
  <c r="AN33" i="8"/>
  <c r="AN32" i="8"/>
  <c r="AN31" i="8"/>
  <c r="AN30" i="8"/>
  <c r="AN29" i="8"/>
  <c r="AN28" i="8"/>
  <c r="AN27" i="8"/>
  <c r="AN26" i="8"/>
  <c r="AN25" i="8"/>
  <c r="AN24" i="8"/>
  <c r="AN23" i="8"/>
  <c r="AN22" i="8"/>
  <c r="AN21" i="8"/>
  <c r="AN20" i="8"/>
  <c r="AN19" i="8"/>
  <c r="AN18" i="8"/>
  <c r="AL158" i="8"/>
  <c r="AL157" i="8"/>
  <c r="AL156" i="8"/>
  <c r="AL155" i="8"/>
  <c r="AL154" i="8"/>
  <c r="AL153" i="8"/>
  <c r="AL152" i="8"/>
  <c r="AL151" i="8"/>
  <c r="AL150" i="8"/>
  <c r="AL149" i="8"/>
  <c r="AL148" i="8"/>
  <c r="AL147" i="8"/>
  <c r="AL146" i="8"/>
  <c r="AL145" i="8"/>
  <c r="AL144" i="8"/>
  <c r="AL143" i="8"/>
  <c r="AL142" i="8"/>
  <c r="AL141" i="8"/>
  <c r="AL140" i="8"/>
  <c r="AL139" i="8"/>
  <c r="AL138" i="8"/>
  <c r="AL137" i="8"/>
  <c r="AL136" i="8"/>
  <c r="AL135" i="8"/>
  <c r="AL134" i="8"/>
  <c r="AL133" i="8"/>
  <c r="AL132" i="8"/>
  <c r="AL131" i="8"/>
  <c r="AL130" i="8"/>
  <c r="AL129" i="8"/>
  <c r="AL128" i="8"/>
  <c r="AL127" i="8"/>
  <c r="AL126" i="8"/>
  <c r="AL125" i="8"/>
  <c r="AL124" i="8"/>
  <c r="AL123" i="8"/>
  <c r="AL122" i="8"/>
  <c r="AL121" i="8"/>
  <c r="AL120" i="8"/>
  <c r="AL119" i="8"/>
  <c r="AL118" i="8"/>
  <c r="AL117" i="8"/>
  <c r="AL116" i="8"/>
  <c r="AL115" i="8"/>
  <c r="AL114" i="8"/>
  <c r="AL113" i="8"/>
  <c r="AL112" i="8"/>
  <c r="AL111" i="8"/>
  <c r="AL110" i="8"/>
  <c r="AL109" i="8"/>
  <c r="AL108" i="8"/>
  <c r="AL107" i="8"/>
  <c r="AL106" i="8"/>
  <c r="AL105" i="8"/>
  <c r="AL104" i="8"/>
  <c r="AL103" i="8"/>
  <c r="AL102" i="8"/>
  <c r="AL101" i="8"/>
  <c r="AL100" i="8"/>
  <c r="AL99" i="8"/>
  <c r="AL98" i="8"/>
  <c r="AL97" i="8"/>
  <c r="AL96" i="8"/>
  <c r="AL95" i="8"/>
  <c r="AL94" i="8"/>
  <c r="AL93" i="8"/>
  <c r="AL92" i="8"/>
  <c r="AL91" i="8"/>
  <c r="AL90" i="8"/>
  <c r="AL89" i="8"/>
  <c r="AL88" i="8"/>
  <c r="AL87" i="8"/>
  <c r="AL86" i="8"/>
  <c r="AL85" i="8"/>
  <c r="AL84" i="8"/>
  <c r="AL83" i="8"/>
  <c r="AL82" i="8"/>
  <c r="AL81" i="8"/>
  <c r="AL80" i="8"/>
  <c r="AL79" i="8"/>
  <c r="AL78" i="8"/>
  <c r="AL77" i="8"/>
  <c r="AL76" i="8"/>
  <c r="AL75" i="8"/>
  <c r="AL74" i="8"/>
  <c r="AL73" i="8"/>
  <c r="AL72" i="8"/>
  <c r="AL71" i="8"/>
  <c r="AL70" i="8"/>
  <c r="AL69" i="8"/>
  <c r="AL68" i="8"/>
  <c r="AL67" i="8"/>
  <c r="AL66" i="8"/>
  <c r="AL65" i="8"/>
  <c r="AL64" i="8"/>
  <c r="AL63" i="8"/>
  <c r="AL62" i="8"/>
  <c r="AL61" i="8"/>
  <c r="AL60" i="8"/>
  <c r="AL59" i="8"/>
  <c r="AL58" i="8"/>
  <c r="AL57" i="8"/>
  <c r="AL56" i="8"/>
  <c r="AL55" i="8"/>
  <c r="AL54" i="8"/>
  <c r="AL53" i="8"/>
  <c r="AL52" i="8"/>
  <c r="AL51" i="8"/>
  <c r="AL50" i="8"/>
  <c r="AL49" i="8"/>
  <c r="AL48" i="8"/>
  <c r="AL47" i="8"/>
  <c r="AL46" i="8"/>
  <c r="AL45" i="8"/>
  <c r="AL44" i="8"/>
  <c r="AL43" i="8"/>
  <c r="AL42" i="8"/>
  <c r="AL41" i="8"/>
  <c r="AL40" i="8"/>
  <c r="AL39" i="8"/>
  <c r="AL38" i="8"/>
  <c r="AL37" i="8"/>
  <c r="AL36" i="8"/>
  <c r="AL35" i="8"/>
  <c r="AL34" i="8"/>
  <c r="AL33" i="8"/>
  <c r="AL32" i="8"/>
  <c r="AL31" i="8"/>
  <c r="AL30" i="8"/>
  <c r="AL29" i="8"/>
  <c r="AL28" i="8"/>
  <c r="AL27" i="8"/>
  <c r="AL26" i="8"/>
  <c r="AL25" i="8"/>
  <c r="AL24" i="8"/>
  <c r="AL23" i="8"/>
  <c r="AL22" i="8"/>
  <c r="AL21" i="8"/>
  <c r="AL20" i="8"/>
  <c r="AL19" i="8"/>
  <c r="AL18" i="8"/>
  <c r="AJ158" i="8"/>
  <c r="AJ157" i="8"/>
  <c r="AJ156" i="8"/>
  <c r="AJ155" i="8"/>
  <c r="AJ154" i="8"/>
  <c r="AJ153" i="8"/>
  <c r="AJ152" i="8"/>
  <c r="AJ151" i="8"/>
  <c r="AJ150" i="8"/>
  <c r="AJ149" i="8"/>
  <c r="AJ148" i="8"/>
  <c r="AJ147" i="8"/>
  <c r="AJ146" i="8"/>
  <c r="AJ145" i="8"/>
  <c r="AJ144" i="8"/>
  <c r="AJ143" i="8"/>
  <c r="AJ142" i="8"/>
  <c r="AJ141" i="8"/>
  <c r="AJ140" i="8"/>
  <c r="AJ139" i="8"/>
  <c r="AJ138" i="8"/>
  <c r="AJ137" i="8"/>
  <c r="AJ136" i="8"/>
  <c r="AJ135" i="8"/>
  <c r="AJ134" i="8"/>
  <c r="AJ133" i="8"/>
  <c r="AJ132" i="8"/>
  <c r="AJ131" i="8"/>
  <c r="AJ130" i="8"/>
  <c r="AJ129" i="8"/>
  <c r="AJ128" i="8"/>
  <c r="AJ127" i="8"/>
  <c r="AJ126" i="8"/>
  <c r="AJ125" i="8"/>
  <c r="AJ124" i="8"/>
  <c r="AJ123" i="8"/>
  <c r="AJ122" i="8"/>
  <c r="AJ121" i="8"/>
  <c r="AJ120" i="8"/>
  <c r="AJ119" i="8"/>
  <c r="AJ118" i="8"/>
  <c r="AJ117" i="8"/>
  <c r="AJ116" i="8"/>
  <c r="AJ115" i="8"/>
  <c r="AJ114" i="8"/>
  <c r="AJ113" i="8"/>
  <c r="AJ112" i="8"/>
  <c r="AJ111" i="8"/>
  <c r="AJ110" i="8"/>
  <c r="AJ109" i="8"/>
  <c r="AJ108" i="8"/>
  <c r="AJ107" i="8"/>
  <c r="AJ106" i="8"/>
  <c r="AJ105" i="8"/>
  <c r="AJ104" i="8"/>
  <c r="AJ103" i="8"/>
  <c r="AJ102" i="8"/>
  <c r="AJ101" i="8"/>
  <c r="AJ100" i="8"/>
  <c r="AJ99" i="8"/>
  <c r="AJ98" i="8"/>
  <c r="AJ97" i="8"/>
  <c r="AJ96" i="8"/>
  <c r="AJ95" i="8"/>
  <c r="AJ94" i="8"/>
  <c r="AJ93" i="8"/>
  <c r="AJ92" i="8"/>
  <c r="AJ91" i="8"/>
  <c r="AJ90" i="8"/>
  <c r="AJ89" i="8"/>
  <c r="AJ88" i="8"/>
  <c r="AJ87" i="8"/>
  <c r="AJ86" i="8"/>
  <c r="AJ85" i="8"/>
  <c r="AJ84" i="8"/>
  <c r="AJ83" i="8"/>
  <c r="AJ82" i="8"/>
  <c r="AJ81" i="8"/>
  <c r="AJ80" i="8"/>
  <c r="AJ79" i="8"/>
  <c r="AJ78" i="8"/>
  <c r="AJ77" i="8"/>
  <c r="AJ76" i="8"/>
  <c r="AJ75" i="8"/>
  <c r="AJ74" i="8"/>
  <c r="AJ73" i="8"/>
  <c r="AJ72" i="8"/>
  <c r="AJ71" i="8"/>
  <c r="AJ70" i="8"/>
  <c r="AJ69" i="8"/>
  <c r="AJ68" i="8"/>
  <c r="AJ67" i="8"/>
  <c r="AJ66" i="8"/>
  <c r="AJ65" i="8"/>
  <c r="AJ64" i="8"/>
  <c r="AJ63" i="8"/>
  <c r="AJ62" i="8"/>
  <c r="AJ61" i="8"/>
  <c r="AJ60" i="8"/>
  <c r="AJ59" i="8"/>
  <c r="AJ58" i="8"/>
  <c r="AJ57" i="8"/>
  <c r="AJ56" i="8"/>
  <c r="AJ55" i="8"/>
  <c r="AJ54" i="8"/>
  <c r="AJ53" i="8"/>
  <c r="AJ52" i="8"/>
  <c r="AJ51" i="8"/>
  <c r="AJ50" i="8"/>
  <c r="AJ49" i="8"/>
  <c r="AJ48" i="8"/>
  <c r="AJ47" i="8"/>
  <c r="AJ46" i="8"/>
  <c r="AJ45" i="8"/>
  <c r="AJ44" i="8"/>
  <c r="AJ43" i="8"/>
  <c r="AJ42" i="8"/>
  <c r="AJ41" i="8"/>
  <c r="AJ40" i="8"/>
  <c r="AJ39" i="8"/>
  <c r="AJ38" i="8"/>
  <c r="AJ37" i="8"/>
  <c r="AJ36" i="8"/>
  <c r="AJ35" i="8"/>
  <c r="AJ34" i="8"/>
  <c r="AJ33" i="8"/>
  <c r="AJ32" i="8"/>
  <c r="AJ31" i="8"/>
  <c r="AJ30" i="8"/>
  <c r="AJ29" i="8"/>
  <c r="AJ28" i="8"/>
  <c r="AJ27" i="8"/>
  <c r="AJ26" i="8"/>
  <c r="AJ25" i="8"/>
  <c r="AJ24" i="8"/>
  <c r="AJ23" i="8"/>
  <c r="AJ22" i="8"/>
  <c r="AJ21" i="8"/>
  <c r="AJ20" i="8"/>
  <c r="AJ19" i="8"/>
  <c r="AJ18" i="8"/>
  <c r="AH158" i="8"/>
  <c r="AH157" i="8"/>
  <c r="AH156" i="8"/>
  <c r="AH155" i="8"/>
  <c r="AH154" i="8"/>
  <c r="AH153" i="8"/>
  <c r="AH152" i="8"/>
  <c r="AH151" i="8"/>
  <c r="AH150" i="8"/>
  <c r="AH149" i="8"/>
  <c r="AH148" i="8"/>
  <c r="AH147" i="8"/>
  <c r="AH146" i="8"/>
  <c r="AH145" i="8"/>
  <c r="AH144" i="8"/>
  <c r="AH143" i="8"/>
  <c r="AH142" i="8"/>
  <c r="AH141" i="8"/>
  <c r="AH140" i="8"/>
  <c r="AH139" i="8"/>
  <c r="AH138" i="8"/>
  <c r="AH137" i="8"/>
  <c r="AH136" i="8"/>
  <c r="AH135" i="8"/>
  <c r="AH134" i="8"/>
  <c r="AH133" i="8"/>
  <c r="AH132" i="8"/>
  <c r="AH131" i="8"/>
  <c r="AH130" i="8"/>
  <c r="AH129" i="8"/>
  <c r="AH128" i="8"/>
  <c r="AH127" i="8"/>
  <c r="AH126" i="8"/>
  <c r="AH125" i="8"/>
  <c r="AH124" i="8"/>
  <c r="AH123" i="8"/>
  <c r="AH122" i="8"/>
  <c r="AH121" i="8"/>
  <c r="AH120" i="8"/>
  <c r="AH119" i="8"/>
  <c r="AH118" i="8"/>
  <c r="AH117" i="8"/>
  <c r="AH116" i="8"/>
  <c r="AH115" i="8"/>
  <c r="AH114" i="8"/>
  <c r="AH113" i="8"/>
  <c r="AH112" i="8"/>
  <c r="AH111" i="8"/>
  <c r="AH110" i="8"/>
  <c r="AH109" i="8"/>
  <c r="AH108" i="8"/>
  <c r="AH107" i="8"/>
  <c r="AH106" i="8"/>
  <c r="AH105" i="8"/>
  <c r="AH104" i="8"/>
  <c r="AH103" i="8"/>
  <c r="AH102" i="8"/>
  <c r="AH101" i="8"/>
  <c r="AH100" i="8"/>
  <c r="AH99" i="8"/>
  <c r="AH98" i="8"/>
  <c r="AH97" i="8"/>
  <c r="AH96" i="8"/>
  <c r="AH95" i="8"/>
  <c r="AH94" i="8"/>
  <c r="AH93" i="8"/>
  <c r="AH92" i="8"/>
  <c r="AH91" i="8"/>
  <c r="AH90" i="8"/>
  <c r="AH89" i="8"/>
  <c r="AH88" i="8"/>
  <c r="AH87" i="8"/>
  <c r="AH86" i="8"/>
  <c r="AH85" i="8"/>
  <c r="AH84" i="8"/>
  <c r="AH83" i="8"/>
  <c r="AH82" i="8"/>
  <c r="AH81" i="8"/>
  <c r="AH80" i="8"/>
  <c r="AH79" i="8"/>
  <c r="AH78" i="8"/>
  <c r="AH77" i="8"/>
  <c r="AH76" i="8"/>
  <c r="AH75" i="8"/>
  <c r="AH74" i="8"/>
  <c r="AH73" i="8"/>
  <c r="AH72" i="8"/>
  <c r="AH71" i="8"/>
  <c r="AH70" i="8"/>
  <c r="AH69" i="8"/>
  <c r="AH68" i="8"/>
  <c r="AH67" i="8"/>
  <c r="AH66" i="8"/>
  <c r="AH65" i="8"/>
  <c r="AH64" i="8"/>
  <c r="AH63" i="8"/>
  <c r="AH62" i="8"/>
  <c r="AH61" i="8"/>
  <c r="AH60" i="8"/>
  <c r="AH59" i="8"/>
  <c r="AH58" i="8"/>
  <c r="AH57" i="8"/>
  <c r="AH56" i="8"/>
  <c r="AH55" i="8"/>
  <c r="AH54" i="8"/>
  <c r="AH53" i="8"/>
  <c r="AH52" i="8"/>
  <c r="AH51" i="8"/>
  <c r="AH50" i="8"/>
  <c r="AH49" i="8"/>
  <c r="AH48" i="8"/>
  <c r="AH47" i="8"/>
  <c r="AH46" i="8"/>
  <c r="AH45" i="8"/>
  <c r="AH44" i="8"/>
  <c r="AH43" i="8"/>
  <c r="AH42" i="8"/>
  <c r="AH41" i="8"/>
  <c r="AH40" i="8"/>
  <c r="AH39" i="8"/>
  <c r="AH38" i="8"/>
  <c r="AH37" i="8"/>
  <c r="AH36" i="8"/>
  <c r="AH35" i="8"/>
  <c r="AH34" i="8"/>
  <c r="AH33" i="8"/>
  <c r="AH32" i="8"/>
  <c r="AH31" i="8"/>
  <c r="AH30" i="8"/>
  <c r="AH29" i="8"/>
  <c r="AH28" i="8"/>
  <c r="AH27" i="8"/>
  <c r="AH26" i="8"/>
  <c r="AH25" i="8"/>
  <c r="AH24" i="8"/>
  <c r="AH23" i="8"/>
  <c r="AH22" i="8"/>
  <c r="AH21" i="8"/>
  <c r="AH20" i="8"/>
  <c r="AH19" i="8"/>
  <c r="AH18" i="8"/>
  <c r="AF158" i="8"/>
  <c r="AF157" i="8"/>
  <c r="AF156" i="8"/>
  <c r="AF155" i="8"/>
  <c r="AF154" i="8"/>
  <c r="AF153" i="8"/>
  <c r="AF152" i="8"/>
  <c r="AF151" i="8"/>
  <c r="AF150" i="8"/>
  <c r="AF149" i="8"/>
  <c r="AF148" i="8"/>
  <c r="AF147" i="8"/>
  <c r="AF146" i="8"/>
  <c r="AF145" i="8"/>
  <c r="AF144" i="8"/>
  <c r="AF143" i="8"/>
  <c r="AF142" i="8"/>
  <c r="AF141" i="8"/>
  <c r="AF140" i="8"/>
  <c r="AF139" i="8"/>
  <c r="AF138" i="8"/>
  <c r="AF137" i="8"/>
  <c r="AF136" i="8"/>
  <c r="AF135" i="8"/>
  <c r="AF134" i="8"/>
  <c r="AF133" i="8"/>
  <c r="AF132" i="8"/>
  <c r="AF131" i="8"/>
  <c r="AF130" i="8"/>
  <c r="AF129" i="8"/>
  <c r="AF128" i="8"/>
  <c r="AF127" i="8"/>
  <c r="AF126" i="8"/>
  <c r="AF125" i="8"/>
  <c r="AF124" i="8"/>
  <c r="AF123" i="8"/>
  <c r="AF122" i="8"/>
  <c r="AF121" i="8"/>
  <c r="AF120" i="8"/>
  <c r="AF119" i="8"/>
  <c r="AF118" i="8"/>
  <c r="AF117" i="8"/>
  <c r="AF116" i="8"/>
  <c r="AF115" i="8"/>
  <c r="AF114" i="8"/>
  <c r="AF113" i="8"/>
  <c r="AF112" i="8"/>
  <c r="AF111" i="8"/>
  <c r="AF110" i="8"/>
  <c r="AF109" i="8"/>
  <c r="AF108" i="8"/>
  <c r="AF107" i="8"/>
  <c r="AF106" i="8"/>
  <c r="AF105" i="8"/>
  <c r="AF104" i="8"/>
  <c r="AF103" i="8"/>
  <c r="AF102" i="8"/>
  <c r="AF101" i="8"/>
  <c r="AF100" i="8"/>
  <c r="AF99" i="8"/>
  <c r="AF98" i="8"/>
  <c r="AF97" i="8"/>
  <c r="AF96" i="8"/>
  <c r="AF95" i="8"/>
  <c r="AF94" i="8"/>
  <c r="AF93" i="8"/>
  <c r="AF92" i="8"/>
  <c r="AF91" i="8"/>
  <c r="AF90" i="8"/>
  <c r="AF89" i="8"/>
  <c r="AF88" i="8"/>
  <c r="AF87" i="8"/>
  <c r="AF86" i="8"/>
  <c r="AF85" i="8"/>
  <c r="AF84" i="8"/>
  <c r="AF83" i="8"/>
  <c r="AF82" i="8"/>
  <c r="AF81" i="8"/>
  <c r="AF80" i="8"/>
  <c r="AF79" i="8"/>
  <c r="AF78" i="8"/>
  <c r="AF77" i="8"/>
  <c r="AF76" i="8"/>
  <c r="AF75" i="8"/>
  <c r="AF74" i="8"/>
  <c r="AF73" i="8"/>
  <c r="AF72" i="8"/>
  <c r="AF71" i="8"/>
  <c r="AF70" i="8"/>
  <c r="AF69" i="8"/>
  <c r="AF68" i="8"/>
  <c r="AF67" i="8"/>
  <c r="AF66" i="8"/>
  <c r="AF65" i="8"/>
  <c r="AF64" i="8"/>
  <c r="AF63" i="8"/>
  <c r="AF62" i="8"/>
  <c r="AF61" i="8"/>
  <c r="AF60" i="8"/>
  <c r="AF59" i="8"/>
  <c r="AF58" i="8"/>
  <c r="AF57" i="8"/>
  <c r="AF56" i="8"/>
  <c r="AF55" i="8"/>
  <c r="AF54" i="8"/>
  <c r="AF53" i="8"/>
  <c r="AF52" i="8"/>
  <c r="AF51" i="8"/>
  <c r="AF50" i="8"/>
  <c r="AF49" i="8"/>
  <c r="AF48" i="8"/>
  <c r="AF47" i="8"/>
  <c r="AF46" i="8"/>
  <c r="AF45" i="8"/>
  <c r="AF44" i="8"/>
  <c r="AF43" i="8"/>
  <c r="AF42" i="8"/>
  <c r="AF41" i="8"/>
  <c r="AF40" i="8"/>
  <c r="AF39" i="8"/>
  <c r="AF38" i="8"/>
  <c r="AF37" i="8"/>
  <c r="AF36" i="8"/>
  <c r="AF35" i="8"/>
  <c r="AF34" i="8"/>
  <c r="AF33" i="8"/>
  <c r="AF32" i="8"/>
  <c r="AF31" i="8"/>
  <c r="AF30" i="8"/>
  <c r="AF29" i="8"/>
  <c r="AF28" i="8"/>
  <c r="AF27" i="8"/>
  <c r="AF26" i="8"/>
  <c r="AF25" i="8"/>
  <c r="AF24" i="8"/>
  <c r="AF23" i="8"/>
  <c r="AF22" i="8"/>
  <c r="AF21" i="8"/>
  <c r="AF20" i="8"/>
  <c r="AF19" i="8"/>
  <c r="AF18" i="8"/>
  <c r="AD158" i="8"/>
  <c r="AD157" i="8"/>
  <c r="AD156" i="8"/>
  <c r="AD155" i="8"/>
  <c r="AD154" i="8"/>
  <c r="AD153" i="8"/>
  <c r="AD152" i="8"/>
  <c r="AD151" i="8"/>
  <c r="AD150" i="8"/>
  <c r="AD149" i="8"/>
  <c r="AD148" i="8"/>
  <c r="AD147" i="8"/>
  <c r="AD146" i="8"/>
  <c r="AD145" i="8"/>
  <c r="AD144" i="8"/>
  <c r="AD143" i="8"/>
  <c r="AD142" i="8"/>
  <c r="AD141" i="8"/>
  <c r="AD140" i="8"/>
  <c r="AD139" i="8"/>
  <c r="AD138" i="8"/>
  <c r="AD137" i="8"/>
  <c r="AD136" i="8"/>
  <c r="AD135" i="8"/>
  <c r="AD134" i="8"/>
  <c r="AD133" i="8"/>
  <c r="AD132" i="8"/>
  <c r="AD131" i="8"/>
  <c r="AD130" i="8"/>
  <c r="AD129" i="8"/>
  <c r="AD128" i="8"/>
  <c r="AD127" i="8"/>
  <c r="AD126" i="8"/>
  <c r="AD125" i="8"/>
  <c r="AD124" i="8"/>
  <c r="AD123" i="8"/>
  <c r="AD122" i="8"/>
  <c r="AD121" i="8"/>
  <c r="AD120" i="8"/>
  <c r="AD119" i="8"/>
  <c r="AD118" i="8"/>
  <c r="AD117" i="8"/>
  <c r="AD116" i="8"/>
  <c r="AD115" i="8"/>
  <c r="AD114" i="8"/>
  <c r="AD113" i="8"/>
  <c r="AD112" i="8"/>
  <c r="AD111" i="8"/>
  <c r="AD110" i="8"/>
  <c r="AD109" i="8"/>
  <c r="AD108" i="8"/>
  <c r="AD107" i="8"/>
  <c r="AD106" i="8"/>
  <c r="AD105" i="8"/>
  <c r="AD104" i="8"/>
  <c r="AD103" i="8"/>
  <c r="AD102" i="8"/>
  <c r="AD101" i="8"/>
  <c r="AD100" i="8"/>
  <c r="AD99" i="8"/>
  <c r="AD98" i="8"/>
  <c r="AD97" i="8"/>
  <c r="AD96" i="8"/>
  <c r="AD95" i="8"/>
  <c r="AD94" i="8"/>
  <c r="AD93" i="8"/>
  <c r="AD92" i="8"/>
  <c r="AD91" i="8"/>
  <c r="AD90" i="8"/>
  <c r="AD89" i="8"/>
  <c r="AD88" i="8"/>
  <c r="AD87" i="8"/>
  <c r="AD86" i="8"/>
  <c r="AD85" i="8"/>
  <c r="AD84" i="8"/>
  <c r="AD83" i="8"/>
  <c r="AD82" i="8"/>
  <c r="AD81" i="8"/>
  <c r="AD80" i="8"/>
  <c r="AD79" i="8"/>
  <c r="AD78" i="8"/>
  <c r="AD77" i="8"/>
  <c r="AD76" i="8"/>
  <c r="AD75" i="8"/>
  <c r="AD74" i="8"/>
  <c r="AD73" i="8"/>
  <c r="AD72" i="8"/>
  <c r="AD71" i="8"/>
  <c r="AD70" i="8"/>
  <c r="AD69" i="8"/>
  <c r="AD68" i="8"/>
  <c r="AD67" i="8"/>
  <c r="AD66" i="8"/>
  <c r="AD65" i="8"/>
  <c r="AD64" i="8"/>
  <c r="AD63" i="8"/>
  <c r="AD62" i="8"/>
  <c r="AD61" i="8"/>
  <c r="AD60" i="8"/>
  <c r="AD59" i="8"/>
  <c r="AD58" i="8"/>
  <c r="AD57" i="8"/>
  <c r="AD56" i="8"/>
  <c r="AD55" i="8"/>
  <c r="AD54" i="8"/>
  <c r="AD53" i="8"/>
  <c r="AD52" i="8"/>
  <c r="AD51" i="8"/>
  <c r="AD50" i="8"/>
  <c r="AD49" i="8"/>
  <c r="AD48" i="8"/>
  <c r="AD47" i="8"/>
  <c r="AD46" i="8"/>
  <c r="AD45" i="8"/>
  <c r="AD44" i="8"/>
  <c r="AD43" i="8"/>
  <c r="AD42" i="8"/>
  <c r="AD41" i="8"/>
  <c r="AD40" i="8"/>
  <c r="AD39" i="8"/>
  <c r="AD38" i="8"/>
  <c r="AD37" i="8"/>
  <c r="AD36" i="8"/>
  <c r="AD35" i="8"/>
  <c r="AD34" i="8"/>
  <c r="AD33" i="8"/>
  <c r="AD32" i="8"/>
  <c r="AD31" i="8"/>
  <c r="AD30" i="8"/>
  <c r="AD29" i="8"/>
  <c r="AD28" i="8"/>
  <c r="AD27" i="8"/>
  <c r="AD26" i="8"/>
  <c r="AD25" i="8"/>
  <c r="AD24" i="8"/>
  <c r="AD23" i="8"/>
  <c r="AD22" i="8"/>
  <c r="AD21" i="8"/>
  <c r="AD20" i="8"/>
  <c r="AD19" i="8"/>
  <c r="AD18" i="8"/>
  <c r="AB158" i="8"/>
  <c r="AB157" i="8"/>
  <c r="AB156" i="8"/>
  <c r="AB155" i="8"/>
  <c r="AB154" i="8"/>
  <c r="AB153" i="8"/>
  <c r="AB152" i="8"/>
  <c r="AB151" i="8"/>
  <c r="AB150" i="8"/>
  <c r="AB149" i="8"/>
  <c r="AB148" i="8"/>
  <c r="AB147" i="8"/>
  <c r="AB146" i="8"/>
  <c r="AB145" i="8"/>
  <c r="AB144" i="8"/>
  <c r="AB143" i="8"/>
  <c r="AB142" i="8"/>
  <c r="AB141" i="8"/>
  <c r="AB140" i="8"/>
  <c r="AB139" i="8"/>
  <c r="AB138" i="8"/>
  <c r="AB137" i="8"/>
  <c r="AB136" i="8"/>
  <c r="AB135" i="8"/>
  <c r="AB134" i="8"/>
  <c r="AB133" i="8"/>
  <c r="AB132" i="8"/>
  <c r="AB131" i="8"/>
  <c r="AB130" i="8"/>
  <c r="AB129" i="8"/>
  <c r="AB128" i="8"/>
  <c r="AB127" i="8"/>
  <c r="AB126" i="8"/>
  <c r="AB125" i="8"/>
  <c r="AB124" i="8"/>
  <c r="AB123" i="8"/>
  <c r="AB122" i="8"/>
  <c r="AB121" i="8"/>
  <c r="AB120" i="8"/>
  <c r="AB119" i="8"/>
  <c r="AB118" i="8"/>
  <c r="AB117" i="8"/>
  <c r="AB116" i="8"/>
  <c r="AB115" i="8"/>
  <c r="AB114" i="8"/>
  <c r="AB113" i="8"/>
  <c r="AB112" i="8"/>
  <c r="AB111" i="8"/>
  <c r="AB110" i="8"/>
  <c r="AB109" i="8"/>
  <c r="AB108" i="8"/>
  <c r="AB107" i="8"/>
  <c r="AB106" i="8"/>
  <c r="AB105" i="8"/>
  <c r="AB104" i="8"/>
  <c r="AB103" i="8"/>
  <c r="AB102" i="8"/>
  <c r="AB101" i="8"/>
  <c r="AB100" i="8"/>
  <c r="AB99" i="8"/>
  <c r="AB98" i="8"/>
  <c r="AB97" i="8"/>
  <c r="AB96" i="8"/>
  <c r="AB95" i="8"/>
  <c r="AB94" i="8"/>
  <c r="AB93" i="8"/>
  <c r="AB92" i="8"/>
  <c r="AB91" i="8"/>
  <c r="AB90" i="8"/>
  <c r="AB89" i="8"/>
  <c r="AB88" i="8"/>
  <c r="AB87" i="8"/>
  <c r="AB86" i="8"/>
  <c r="AB85" i="8"/>
  <c r="AB84" i="8"/>
  <c r="AB83" i="8"/>
  <c r="AB82" i="8"/>
  <c r="AB81" i="8"/>
  <c r="AB80" i="8"/>
  <c r="AB79" i="8"/>
  <c r="AB78" i="8"/>
  <c r="AB77" i="8"/>
  <c r="AB76" i="8"/>
  <c r="AB75" i="8"/>
  <c r="AB74" i="8"/>
  <c r="AB73" i="8"/>
  <c r="AB72" i="8"/>
  <c r="AB71" i="8"/>
  <c r="AB70" i="8"/>
  <c r="AB69" i="8"/>
  <c r="AB68" i="8"/>
  <c r="AB67" i="8"/>
  <c r="AB66" i="8"/>
  <c r="AB65" i="8"/>
  <c r="AB64" i="8"/>
  <c r="AB63" i="8"/>
  <c r="AB62" i="8"/>
  <c r="AB61" i="8"/>
  <c r="AB60" i="8"/>
  <c r="AB59" i="8"/>
  <c r="AB58" i="8"/>
  <c r="AB57" i="8"/>
  <c r="AB56" i="8"/>
  <c r="AB55" i="8"/>
  <c r="AB54" i="8"/>
  <c r="AB53" i="8"/>
  <c r="AB52" i="8"/>
  <c r="AB51" i="8"/>
  <c r="AB50" i="8"/>
  <c r="AB49" i="8"/>
  <c r="AB48" i="8"/>
  <c r="AB47" i="8"/>
  <c r="AB46" i="8"/>
  <c r="AB45" i="8"/>
  <c r="AB44" i="8"/>
  <c r="AB43" i="8"/>
  <c r="AB42" i="8"/>
  <c r="AB41" i="8"/>
  <c r="AB40" i="8"/>
  <c r="AB39" i="8"/>
  <c r="AB38" i="8"/>
  <c r="AB37" i="8"/>
  <c r="AB36" i="8"/>
  <c r="AB35" i="8"/>
  <c r="AB34" i="8"/>
  <c r="AB33" i="8"/>
  <c r="AB32" i="8"/>
  <c r="AB31" i="8"/>
  <c r="AB30" i="8"/>
  <c r="AB29" i="8"/>
  <c r="AB28" i="8"/>
  <c r="AB27" i="8"/>
  <c r="AB26" i="8"/>
  <c r="AB25" i="8"/>
  <c r="AB24" i="8"/>
  <c r="AB23" i="8"/>
  <c r="AB22" i="8"/>
  <c r="AB21" i="8"/>
  <c r="AB20" i="8"/>
  <c r="AB19" i="8"/>
  <c r="AB18" i="8"/>
  <c r="Z158" i="8"/>
  <c r="Z157" i="8"/>
  <c r="Z156" i="8"/>
  <c r="Z155" i="8"/>
  <c r="Z154" i="8"/>
  <c r="Z153" i="8"/>
  <c r="Z152" i="8"/>
  <c r="Z151" i="8"/>
  <c r="Z150" i="8"/>
  <c r="Z149" i="8"/>
  <c r="Z148" i="8"/>
  <c r="Z147" i="8"/>
  <c r="Z146" i="8"/>
  <c r="Z145" i="8"/>
  <c r="Z144" i="8"/>
  <c r="Z143" i="8"/>
  <c r="Z142" i="8"/>
  <c r="Z141" i="8"/>
  <c r="Z140" i="8"/>
  <c r="Z139" i="8"/>
  <c r="Z138" i="8"/>
  <c r="Z137" i="8"/>
  <c r="Z136" i="8"/>
  <c r="Z135" i="8"/>
  <c r="Z134" i="8"/>
  <c r="Z133" i="8"/>
  <c r="Z132" i="8"/>
  <c r="Z131" i="8"/>
  <c r="Z130" i="8"/>
  <c r="Z129" i="8"/>
  <c r="Z128" i="8"/>
  <c r="Z127" i="8"/>
  <c r="Z126" i="8"/>
  <c r="Z125" i="8"/>
  <c r="Z124" i="8"/>
  <c r="Z123" i="8"/>
  <c r="Z122" i="8"/>
  <c r="Z121" i="8"/>
  <c r="Z120" i="8"/>
  <c r="Z119" i="8"/>
  <c r="Z118" i="8"/>
  <c r="Z117" i="8"/>
  <c r="Z116" i="8"/>
  <c r="Z115" i="8"/>
  <c r="Z114" i="8"/>
  <c r="Z113" i="8"/>
  <c r="Z112" i="8"/>
  <c r="Z111" i="8"/>
  <c r="Z110" i="8"/>
  <c r="Z109" i="8"/>
  <c r="Z108" i="8"/>
  <c r="Z107" i="8"/>
  <c r="Z106" i="8"/>
  <c r="Z105" i="8"/>
  <c r="Z104" i="8"/>
  <c r="Z103" i="8"/>
  <c r="Z102" i="8"/>
  <c r="Z101" i="8"/>
  <c r="Z100" i="8"/>
  <c r="Z99" i="8"/>
  <c r="Z98" i="8"/>
  <c r="Z97" i="8"/>
  <c r="Z96" i="8"/>
  <c r="Z95" i="8"/>
  <c r="Z94" i="8"/>
  <c r="Z93" i="8"/>
  <c r="Z92" i="8"/>
  <c r="Z91" i="8"/>
  <c r="Z90" i="8"/>
  <c r="Z89" i="8"/>
  <c r="Z88" i="8"/>
  <c r="Z87" i="8"/>
  <c r="Z86" i="8"/>
  <c r="Z85" i="8"/>
  <c r="Z84" i="8"/>
  <c r="Z83" i="8"/>
  <c r="Z82" i="8"/>
  <c r="Z81" i="8"/>
  <c r="Z80" i="8"/>
  <c r="Z79" i="8"/>
  <c r="Z78" i="8"/>
  <c r="Z77" i="8"/>
  <c r="Z76" i="8"/>
  <c r="Z75" i="8"/>
  <c r="Z74" i="8"/>
  <c r="Z73" i="8"/>
  <c r="Z72" i="8"/>
  <c r="Z71" i="8"/>
  <c r="Z70" i="8"/>
  <c r="Z69" i="8"/>
  <c r="Z68" i="8"/>
  <c r="Z67" i="8"/>
  <c r="Z66" i="8"/>
  <c r="Z65" i="8"/>
  <c r="Z64" i="8"/>
  <c r="Z63" i="8"/>
  <c r="Z62" i="8"/>
  <c r="Z61" i="8"/>
  <c r="Z60" i="8"/>
  <c r="Z59" i="8"/>
  <c r="Z58" i="8"/>
  <c r="Z57" i="8"/>
  <c r="Z56" i="8"/>
  <c r="Z55" i="8"/>
  <c r="Z54" i="8"/>
  <c r="Z53" i="8"/>
  <c r="Z52" i="8"/>
  <c r="Z51" i="8"/>
  <c r="Z50" i="8"/>
  <c r="Z49" i="8"/>
  <c r="Z48" i="8"/>
  <c r="Z47" i="8"/>
  <c r="Z46" i="8"/>
  <c r="Z45" i="8"/>
  <c r="Z44" i="8"/>
  <c r="Z43" i="8"/>
  <c r="Z42" i="8"/>
  <c r="Z41" i="8"/>
  <c r="Z40" i="8"/>
  <c r="Z39" i="8"/>
  <c r="Z38" i="8"/>
  <c r="Z37" i="8"/>
  <c r="Z36" i="8"/>
  <c r="Z35" i="8"/>
  <c r="Z34" i="8"/>
  <c r="Z33" i="8"/>
  <c r="Z32" i="8"/>
  <c r="Z31" i="8"/>
  <c r="Z30" i="8"/>
  <c r="Z29" i="8"/>
  <c r="Z28" i="8"/>
  <c r="Z27" i="8"/>
  <c r="Z26" i="8"/>
  <c r="Z25" i="8"/>
  <c r="Z24" i="8"/>
  <c r="Z23" i="8"/>
  <c r="Z21" i="8"/>
  <c r="Z20" i="8"/>
  <c r="Z19" i="8"/>
  <c r="Z18" i="8"/>
  <c r="BF15" i="8"/>
  <c r="BE15" i="8"/>
  <c r="W158" i="8"/>
  <c r="W157" i="8"/>
  <c r="W156" i="8"/>
  <c r="W155" i="8"/>
  <c r="W154" i="8"/>
  <c r="W153" i="8"/>
  <c r="W152" i="8"/>
  <c r="W151" i="8"/>
  <c r="W150" i="8"/>
  <c r="W149" i="8"/>
  <c r="W148" i="8"/>
  <c r="W147" i="8"/>
  <c r="W146" i="8"/>
  <c r="W145" i="8"/>
  <c r="W144" i="8"/>
  <c r="W143" i="8"/>
  <c r="W142" i="8"/>
  <c r="W141" i="8"/>
  <c r="W140" i="8"/>
  <c r="W139" i="8"/>
  <c r="W138" i="8"/>
  <c r="W137" i="8"/>
  <c r="W136" i="8"/>
  <c r="W135" i="8"/>
  <c r="W134" i="8"/>
  <c r="W133" i="8"/>
  <c r="W132" i="8"/>
  <c r="W131" i="8"/>
  <c r="W130" i="8"/>
  <c r="W129" i="8"/>
  <c r="W128" i="8"/>
  <c r="W127" i="8"/>
  <c r="W126" i="8"/>
  <c r="W125" i="8"/>
  <c r="W124" i="8"/>
  <c r="W123" i="8"/>
  <c r="W122" i="8"/>
  <c r="W121" i="8"/>
  <c r="W120" i="8"/>
  <c r="W119" i="8"/>
  <c r="W118" i="8"/>
  <c r="W117" i="8"/>
  <c r="W116" i="8"/>
  <c r="W115" i="8"/>
  <c r="W114" i="8"/>
  <c r="W113" i="8"/>
  <c r="W112" i="8"/>
  <c r="W111" i="8"/>
  <c r="W110" i="8"/>
  <c r="W109" i="8"/>
  <c r="W108" i="8"/>
  <c r="W107" i="8"/>
  <c r="W106" i="8"/>
  <c r="W105" i="8"/>
  <c r="W104" i="8"/>
  <c r="W103" i="8"/>
  <c r="W102" i="8"/>
  <c r="W101" i="8"/>
  <c r="W100" i="8"/>
  <c r="W99" i="8"/>
  <c r="W98" i="8"/>
  <c r="W97" i="8"/>
  <c r="W96" i="8"/>
  <c r="W95" i="8"/>
  <c r="W94" i="8"/>
  <c r="W93" i="8"/>
  <c r="W92" i="8"/>
  <c r="W91" i="8"/>
  <c r="W90" i="8"/>
  <c r="W89" i="8"/>
  <c r="W88" i="8"/>
  <c r="W87" i="8"/>
  <c r="W86" i="8"/>
  <c r="W85" i="8"/>
  <c r="W84" i="8"/>
  <c r="W83" i="8"/>
  <c r="W82" i="8"/>
  <c r="W81" i="8"/>
  <c r="W80" i="8"/>
  <c r="W79" i="8"/>
  <c r="W78" i="8"/>
  <c r="W77" i="8"/>
  <c r="W76" i="8"/>
  <c r="W75" i="8"/>
  <c r="W74" i="8"/>
  <c r="W73" i="8"/>
  <c r="W72" i="8"/>
  <c r="W71" i="8"/>
  <c r="W70" i="8"/>
  <c r="W69" i="8"/>
  <c r="W68" i="8"/>
  <c r="W67" i="8"/>
  <c r="W66" i="8"/>
  <c r="W65" i="8"/>
  <c r="W64" i="8"/>
  <c r="W63" i="8"/>
  <c r="W62" i="8"/>
  <c r="W61" i="8"/>
  <c r="W60" i="8"/>
  <c r="W59" i="8"/>
  <c r="W58" i="8"/>
  <c r="W57" i="8"/>
  <c r="W56" i="8"/>
  <c r="W55" i="8"/>
  <c r="W54" i="8"/>
  <c r="W53" i="8"/>
  <c r="W52" i="8"/>
  <c r="W51" i="8"/>
  <c r="W50" i="8"/>
  <c r="W49" i="8"/>
  <c r="W48" i="8"/>
  <c r="W47" i="8"/>
  <c r="W46" i="8"/>
  <c r="W45" i="8"/>
  <c r="W44" i="8"/>
  <c r="W43" i="8"/>
  <c r="W42" i="8"/>
  <c r="W41" i="8"/>
  <c r="W40" i="8"/>
  <c r="W39" i="8"/>
  <c r="W38" i="8"/>
  <c r="W37" i="8"/>
  <c r="W36" i="8"/>
  <c r="W35" i="8"/>
  <c r="W34" i="8"/>
  <c r="W33" i="8"/>
  <c r="W32" i="8"/>
  <c r="W31" i="8"/>
  <c r="W30" i="8"/>
  <c r="W29" i="8"/>
  <c r="W28" i="8"/>
  <c r="W27" i="8"/>
  <c r="W26" i="8"/>
  <c r="W25" i="8"/>
  <c r="W24" i="8"/>
  <c r="W23" i="8"/>
  <c r="W22" i="8"/>
  <c r="W21" i="8"/>
  <c r="W20" i="8"/>
  <c r="W19" i="8"/>
  <c r="W18" i="8"/>
  <c r="S18" i="8" l="1"/>
  <c r="F12" i="4"/>
  <c r="AT15" i="8" s="1"/>
  <c r="BH44" i="8" l="1" a="1"/>
  <c r="BH44" i="8" s="1"/>
  <c r="BH127" i="8" a="1"/>
  <c r="BH127" i="8" s="1"/>
  <c r="BH87" i="8" a="1"/>
  <c r="BH87" i="8" s="1"/>
  <c r="BH68" i="8" a="1"/>
  <c r="BH68" i="8" s="1"/>
  <c r="BH56" i="8" a="1"/>
  <c r="BH56" i="8" s="1"/>
  <c r="BH43" i="8" a="1"/>
  <c r="BH43" i="8" s="1"/>
  <c r="BH158" i="8" a="1"/>
  <c r="BH158" i="8" s="1"/>
  <c r="BH150" i="8" a="1"/>
  <c r="BH150" i="8" s="1"/>
  <c r="BH142" i="8" a="1"/>
  <c r="BH142" i="8" s="1"/>
  <c r="BH134" i="8" a="1"/>
  <c r="BH134" i="8" s="1"/>
  <c r="BH126" i="8" a="1"/>
  <c r="BH126" i="8" s="1"/>
  <c r="BH118" i="8" a="1"/>
  <c r="BH118" i="8" s="1"/>
  <c r="BH110" i="8" a="1"/>
  <c r="BH110" i="8" s="1"/>
  <c r="BH102" i="8" a="1"/>
  <c r="BH102" i="8" s="1"/>
  <c r="BH94" i="8" a="1"/>
  <c r="BH94" i="8" s="1"/>
  <c r="BH86" i="8" a="1"/>
  <c r="BH86" i="8" s="1"/>
  <c r="BH77" i="8" a="1"/>
  <c r="BH77" i="8" s="1"/>
  <c r="BH67" i="8" a="1"/>
  <c r="BH67" i="8" s="1"/>
  <c r="BH53" i="8" a="1"/>
  <c r="BH53" i="8" s="1"/>
  <c r="BH37" i="8" a="1"/>
  <c r="BH37" i="8" s="1"/>
  <c r="BH151" i="8" a="1"/>
  <c r="BH151" i="8" s="1"/>
  <c r="BH103" i="8" a="1"/>
  <c r="BH103" i="8" s="1"/>
  <c r="BH141" i="8" a="1"/>
  <c r="BH141" i="8" s="1"/>
  <c r="BH93" i="8" a="1"/>
  <c r="BH93" i="8" s="1"/>
  <c r="BH36" i="8" a="1"/>
  <c r="BH36" i="8" s="1"/>
  <c r="BH156" i="8" a="1"/>
  <c r="BH156" i="8" s="1"/>
  <c r="BH148" i="8" a="1"/>
  <c r="BH148" i="8" s="1"/>
  <c r="BH140" i="8" a="1"/>
  <c r="BH140" i="8" s="1"/>
  <c r="BH132" i="8" a="1"/>
  <c r="BH132" i="8" s="1"/>
  <c r="BH124" i="8" a="1"/>
  <c r="BH124" i="8" s="1"/>
  <c r="BH116" i="8" a="1"/>
  <c r="BH116" i="8" s="1"/>
  <c r="BH108" i="8" a="1"/>
  <c r="BH108" i="8" s="1"/>
  <c r="BH100" i="8" a="1"/>
  <c r="BH100" i="8" s="1"/>
  <c r="BH92" i="8" a="1"/>
  <c r="BH92" i="8" s="1"/>
  <c r="BH84" i="8" a="1"/>
  <c r="BH84" i="8" s="1"/>
  <c r="BH75" i="8" a="1"/>
  <c r="BH75" i="8" s="1"/>
  <c r="BH64" i="8" a="1"/>
  <c r="BH64" i="8" s="1"/>
  <c r="BH51" i="8" a="1"/>
  <c r="BH51" i="8" s="1"/>
  <c r="BH34" i="8" a="1"/>
  <c r="BH34" i="8" s="1"/>
  <c r="BH111" i="8" a="1"/>
  <c r="BH111" i="8" s="1"/>
  <c r="BH149" i="8" a="1"/>
  <c r="BH149" i="8" s="1"/>
  <c r="BH109" i="8" a="1"/>
  <c r="BH109" i="8" s="1"/>
  <c r="BH65" i="8" a="1"/>
  <c r="BH65" i="8" s="1"/>
  <c r="BH155" i="8" a="1"/>
  <c r="BH155" i="8" s="1"/>
  <c r="BH147" i="8" a="1"/>
  <c r="BH147" i="8" s="1"/>
  <c r="BH139" i="8" a="1"/>
  <c r="BH139" i="8" s="1"/>
  <c r="BH131" i="8" a="1"/>
  <c r="BH131" i="8" s="1"/>
  <c r="BH123" i="8" a="1"/>
  <c r="BH123" i="8" s="1"/>
  <c r="BH115" i="8" a="1"/>
  <c r="BH115" i="8" s="1"/>
  <c r="BH107" i="8" a="1"/>
  <c r="BH107" i="8" s="1"/>
  <c r="BH99" i="8" a="1"/>
  <c r="BH99" i="8" s="1"/>
  <c r="BH91" i="8" a="1"/>
  <c r="BH91" i="8" s="1"/>
  <c r="BH83" i="8" a="1"/>
  <c r="BH83" i="8" s="1"/>
  <c r="BH74" i="8" a="1"/>
  <c r="BH74" i="8" s="1"/>
  <c r="BH61" i="8" a="1"/>
  <c r="BH61" i="8" s="1"/>
  <c r="BH49" i="8" a="1"/>
  <c r="BH49" i="8" s="1"/>
  <c r="BH143" i="8" a="1"/>
  <c r="BH143" i="8" s="1"/>
  <c r="BH95" i="8" a="1"/>
  <c r="BH95" i="8" s="1"/>
  <c r="BH133" i="8" a="1"/>
  <c r="BH133" i="8" s="1"/>
  <c r="BH101" i="8" a="1"/>
  <c r="BH101" i="8" s="1"/>
  <c r="BH52" i="8" a="1"/>
  <c r="BH52" i="8" s="1"/>
  <c r="BH154" i="8" a="1"/>
  <c r="BH154" i="8" s="1"/>
  <c r="BH146" i="8" a="1"/>
  <c r="BH146" i="8" s="1"/>
  <c r="BH138" i="8" a="1"/>
  <c r="BH138" i="8" s="1"/>
  <c r="BH130" i="8" a="1"/>
  <c r="BH130" i="8" s="1"/>
  <c r="BH122" i="8" a="1"/>
  <c r="BH122" i="8" s="1"/>
  <c r="BH114" i="8" a="1"/>
  <c r="BH114" i="8" s="1"/>
  <c r="BH106" i="8" a="1"/>
  <c r="BH106" i="8" s="1"/>
  <c r="BH98" i="8" a="1"/>
  <c r="BH98" i="8" s="1"/>
  <c r="BH90" i="8" a="1"/>
  <c r="BH90" i="8" s="1"/>
  <c r="BH82" i="8" a="1"/>
  <c r="BH82" i="8" s="1"/>
  <c r="BH73" i="8" a="1"/>
  <c r="BH73" i="8" s="1"/>
  <c r="BH60" i="8" a="1"/>
  <c r="BH60" i="8" s="1"/>
  <c r="BH48" i="8" a="1"/>
  <c r="BH48" i="8" s="1"/>
  <c r="BH119" i="8" a="1"/>
  <c r="BH119" i="8" s="1"/>
  <c r="BH157" i="8" a="1"/>
  <c r="BH157" i="8" s="1"/>
  <c r="BH117" i="8" a="1"/>
  <c r="BH117" i="8" s="1"/>
  <c r="BH76" i="8" a="1"/>
  <c r="BH76" i="8" s="1"/>
  <c r="BH153" i="8" a="1"/>
  <c r="BH153" i="8" s="1"/>
  <c r="BH145" i="8" a="1"/>
  <c r="BH145" i="8" s="1"/>
  <c r="BH137" i="8" a="1"/>
  <c r="BH137" i="8" s="1"/>
  <c r="BH129" i="8" a="1"/>
  <c r="BH129" i="8" s="1"/>
  <c r="BH121" i="8" a="1"/>
  <c r="BH121" i="8" s="1"/>
  <c r="BH113" i="8" a="1"/>
  <c r="BH113" i="8" s="1"/>
  <c r="BH105" i="8" a="1"/>
  <c r="BH105" i="8" s="1"/>
  <c r="BH97" i="8" a="1"/>
  <c r="BH97" i="8" s="1"/>
  <c r="BH89" i="8" a="1"/>
  <c r="BH89" i="8" s="1"/>
  <c r="BH81" i="8" a="1"/>
  <c r="BH81" i="8" s="1"/>
  <c r="BH72" i="8" a="1"/>
  <c r="BH72" i="8" s="1"/>
  <c r="BH59" i="8" a="1"/>
  <c r="BH59" i="8" s="1"/>
  <c r="BH45" i="8" a="1"/>
  <c r="BH45" i="8" s="1"/>
  <c r="BH35" i="8" a="1"/>
  <c r="BH35" i="8" s="1"/>
  <c r="BH135" i="8" a="1"/>
  <c r="BH135" i="8" s="1"/>
  <c r="BH78" i="8" a="1"/>
  <c r="BH78" i="8" s="1"/>
  <c r="BH125" i="8" a="1"/>
  <c r="BH125" i="8" s="1"/>
  <c r="BH85" i="8" a="1"/>
  <c r="BH85" i="8" s="1"/>
  <c r="BH152" i="8" a="1"/>
  <c r="BH152" i="8" s="1"/>
  <c r="BH144" i="8" a="1"/>
  <c r="BH144" i="8" s="1"/>
  <c r="BH136" i="8" a="1"/>
  <c r="BH136" i="8" s="1"/>
  <c r="BH128" i="8" a="1"/>
  <c r="BH128" i="8" s="1"/>
  <c r="BH120" i="8" a="1"/>
  <c r="BH120" i="8" s="1"/>
  <c r="BH112" i="8" a="1"/>
  <c r="BH112" i="8" s="1"/>
  <c r="BH104" i="8" a="1"/>
  <c r="BH104" i="8" s="1"/>
  <c r="BH96" i="8" a="1"/>
  <c r="BH96" i="8" s="1"/>
  <c r="BH88" i="8" a="1"/>
  <c r="BH88" i="8" s="1"/>
  <c r="BH80" i="8" a="1"/>
  <c r="BH80" i="8" s="1"/>
  <c r="BH69" i="8" a="1"/>
  <c r="BH69" i="8" s="1"/>
  <c r="BH57" i="8" a="1"/>
  <c r="BH57" i="8" s="1"/>
  <c r="BH38" i="8" a="1"/>
  <c r="BH38" i="8" s="1"/>
  <c r="BH66" i="8" a="1"/>
  <c r="BH66" i="8" s="1"/>
  <c r="BH58" i="8" a="1"/>
  <c r="BH58" i="8" s="1"/>
  <c r="BH50" i="8" a="1"/>
  <c r="BH50" i="8" s="1"/>
  <c r="BH42" i="8" a="1"/>
  <c r="BH42" i="8" s="1"/>
  <c r="BH33" i="8" a="1"/>
  <c r="BH33" i="8" s="1"/>
  <c r="BH41" i="8" a="1"/>
  <c r="BH41" i="8" s="1"/>
  <c r="BH31" i="8" a="1"/>
  <c r="BH31" i="8" s="1"/>
  <c r="BH40" i="8" a="1"/>
  <c r="BH40" i="8" s="1"/>
  <c r="BH30" i="8" a="1"/>
  <c r="BH30" i="8" s="1"/>
  <c r="BH79" i="8" a="1"/>
  <c r="BH79" i="8" s="1"/>
  <c r="BH71" i="8" a="1"/>
  <c r="BH71" i="8" s="1"/>
  <c r="BH63" i="8" a="1"/>
  <c r="BH63" i="8" s="1"/>
  <c r="BH55" i="8" a="1"/>
  <c r="BH55" i="8" s="1"/>
  <c r="BH47" i="8" a="1"/>
  <c r="BH47" i="8" s="1"/>
  <c r="BH39" i="8" a="1"/>
  <c r="BH39" i="8" s="1"/>
  <c r="BH70" i="8" a="1"/>
  <c r="BH70" i="8" s="1"/>
  <c r="BH62" i="8" a="1"/>
  <c r="BH62" i="8" s="1"/>
  <c r="BH54" i="8" a="1"/>
  <c r="BH54" i="8" s="1"/>
  <c r="BH46" i="8" a="1"/>
  <c r="BH46" i="8" s="1"/>
  <c r="BH32" i="8" a="1"/>
  <c r="BH32" i="8" s="1"/>
  <c r="BH29" i="8" a="1"/>
  <c r="BH29" i="8" s="1"/>
  <c r="BH28" i="8" a="1"/>
  <c r="BH28" i="8" s="1"/>
  <c r="BH23" i="8" a="1"/>
  <c r="BH23" i="8" s="1"/>
  <c r="BH27" i="8" a="1"/>
  <c r="BH27" i="8" s="1"/>
  <c r="BH26" i="8" a="1"/>
  <c r="BH26" i="8" s="1"/>
  <c r="BH25" i="8" a="1"/>
  <c r="BH25" i="8" s="1"/>
  <c r="BH24" i="8" a="1"/>
  <c r="BH24" i="8" s="1"/>
  <c r="BH18" i="8" a="1"/>
  <c r="BH18" i="8" s="1"/>
  <c r="BH22" i="8" a="1"/>
  <c r="BH22" i="8" s="1"/>
  <c r="BH21" i="8" a="1"/>
  <c r="BH21" i="8" s="1"/>
  <c r="BH20" i="8" a="1"/>
  <c r="BH20" i="8" s="1"/>
  <c r="BH19" i="8" a="1"/>
  <c r="BH19" i="8" s="1"/>
  <c r="J14" i="9"/>
  <c r="K14" i="9" s="1"/>
  <c r="J15" i="9"/>
  <c r="K15" i="9" s="1"/>
  <c r="J16" i="9"/>
  <c r="K16" i="9" s="1"/>
  <c r="J17" i="9"/>
  <c r="K17" i="9" s="1"/>
  <c r="J18" i="9"/>
  <c r="K18" i="9" s="1"/>
  <c r="J19" i="9"/>
  <c r="K19" i="9" s="1"/>
  <c r="J20" i="9"/>
  <c r="K20" i="9" s="1"/>
  <c r="J13" i="9"/>
  <c r="K13" i="9" s="1"/>
  <c r="AW15" i="8" l="1"/>
  <c r="AU15" i="8"/>
  <c r="AV15" i="8"/>
  <c r="AX15" i="8"/>
  <c r="L15" i="9"/>
  <c r="M15" i="9" s="1"/>
  <c r="L16" i="9"/>
  <c r="M16" i="9" s="1"/>
  <c r="L17" i="9"/>
  <c r="M17" i="9" s="1"/>
  <c r="L18" i="9"/>
  <c r="M18" i="9" s="1"/>
  <c r="L19" i="9"/>
  <c r="M19" i="9" s="1"/>
  <c r="L20" i="9"/>
  <c r="M20" i="9" s="1"/>
  <c r="L13" i="9"/>
  <c r="L14" i="9"/>
  <c r="M14" i="9" s="1"/>
  <c r="K21" i="9"/>
  <c r="L21" i="9" l="1"/>
  <c r="M13" i="9"/>
  <c r="M21" i="9" s="1"/>
  <c r="V158" i="8" l="1"/>
  <c r="U158" i="8"/>
  <c r="T158" i="8"/>
  <c r="S158" i="8"/>
  <c r="N158" i="8"/>
  <c r="V157" i="8"/>
  <c r="U157" i="8"/>
  <c r="T157" i="8"/>
  <c r="S157" i="8"/>
  <c r="N157" i="8"/>
  <c r="V156" i="8"/>
  <c r="U156" i="8"/>
  <c r="T156" i="8"/>
  <c r="S156" i="8"/>
  <c r="N156" i="8"/>
  <c r="V155" i="8"/>
  <c r="U155" i="8"/>
  <c r="T155" i="8"/>
  <c r="S155" i="8"/>
  <c r="N155" i="8"/>
  <c r="V154" i="8"/>
  <c r="U154" i="8"/>
  <c r="T154" i="8"/>
  <c r="S154" i="8"/>
  <c r="N154" i="8"/>
  <c r="V153" i="8"/>
  <c r="U153" i="8"/>
  <c r="T153" i="8"/>
  <c r="S153" i="8"/>
  <c r="N153" i="8"/>
  <c r="V152" i="8"/>
  <c r="U152" i="8"/>
  <c r="T152" i="8"/>
  <c r="S152" i="8"/>
  <c r="N152" i="8"/>
  <c r="V151" i="8"/>
  <c r="U151" i="8"/>
  <c r="T151" i="8"/>
  <c r="S151" i="8"/>
  <c r="N151" i="8"/>
  <c r="V150" i="8"/>
  <c r="U150" i="8"/>
  <c r="T150" i="8"/>
  <c r="S150" i="8"/>
  <c r="N150" i="8"/>
  <c r="V149" i="8"/>
  <c r="U149" i="8"/>
  <c r="T149" i="8"/>
  <c r="S149" i="8"/>
  <c r="N149" i="8"/>
  <c r="V148" i="8"/>
  <c r="U148" i="8"/>
  <c r="T148" i="8"/>
  <c r="S148" i="8"/>
  <c r="N148" i="8"/>
  <c r="V147" i="8"/>
  <c r="U147" i="8"/>
  <c r="T147" i="8"/>
  <c r="S147" i="8"/>
  <c r="N147" i="8"/>
  <c r="V146" i="8"/>
  <c r="U146" i="8"/>
  <c r="T146" i="8"/>
  <c r="S146" i="8"/>
  <c r="N146" i="8"/>
  <c r="V145" i="8"/>
  <c r="U145" i="8"/>
  <c r="T145" i="8"/>
  <c r="S145" i="8"/>
  <c r="N145" i="8"/>
  <c r="V144" i="8"/>
  <c r="U144" i="8"/>
  <c r="T144" i="8"/>
  <c r="S144" i="8"/>
  <c r="N144" i="8"/>
  <c r="V143" i="8"/>
  <c r="U143" i="8"/>
  <c r="T143" i="8"/>
  <c r="S143" i="8"/>
  <c r="N143" i="8"/>
  <c r="V142" i="8"/>
  <c r="U142" i="8"/>
  <c r="T142" i="8"/>
  <c r="S142" i="8"/>
  <c r="N142" i="8"/>
  <c r="V141" i="8"/>
  <c r="U141" i="8"/>
  <c r="T141" i="8"/>
  <c r="S141" i="8"/>
  <c r="N141" i="8"/>
  <c r="V140" i="8"/>
  <c r="U140" i="8"/>
  <c r="T140" i="8"/>
  <c r="S140" i="8"/>
  <c r="N140" i="8"/>
  <c r="V139" i="8"/>
  <c r="U139" i="8"/>
  <c r="T139" i="8"/>
  <c r="S139" i="8"/>
  <c r="N139" i="8"/>
  <c r="V138" i="8"/>
  <c r="U138" i="8"/>
  <c r="T138" i="8"/>
  <c r="S138" i="8"/>
  <c r="N138" i="8"/>
  <c r="V137" i="8"/>
  <c r="U137" i="8"/>
  <c r="T137" i="8"/>
  <c r="S137" i="8"/>
  <c r="N137" i="8"/>
  <c r="V136" i="8"/>
  <c r="U136" i="8"/>
  <c r="T136" i="8"/>
  <c r="S136" i="8"/>
  <c r="N136" i="8"/>
  <c r="V135" i="8"/>
  <c r="U135" i="8"/>
  <c r="T135" i="8"/>
  <c r="S135" i="8"/>
  <c r="N135" i="8"/>
  <c r="V134" i="8"/>
  <c r="U134" i="8"/>
  <c r="T134" i="8"/>
  <c r="S134" i="8"/>
  <c r="N134" i="8"/>
  <c r="V133" i="8"/>
  <c r="U133" i="8"/>
  <c r="T133" i="8"/>
  <c r="S133" i="8"/>
  <c r="N133" i="8"/>
  <c r="V132" i="8"/>
  <c r="U132" i="8"/>
  <c r="T132" i="8"/>
  <c r="S132" i="8"/>
  <c r="N132" i="8"/>
  <c r="V131" i="8"/>
  <c r="U131" i="8"/>
  <c r="T131" i="8"/>
  <c r="S131" i="8"/>
  <c r="N131" i="8"/>
  <c r="V130" i="8"/>
  <c r="U130" i="8"/>
  <c r="T130" i="8"/>
  <c r="S130" i="8"/>
  <c r="N130" i="8"/>
  <c r="V129" i="8"/>
  <c r="U129" i="8"/>
  <c r="T129" i="8"/>
  <c r="S129" i="8"/>
  <c r="N129" i="8"/>
  <c r="V128" i="8"/>
  <c r="U128" i="8"/>
  <c r="T128" i="8"/>
  <c r="S128" i="8"/>
  <c r="N128" i="8"/>
  <c r="V127" i="8"/>
  <c r="U127" i="8"/>
  <c r="T127" i="8"/>
  <c r="S127" i="8"/>
  <c r="N127" i="8"/>
  <c r="V126" i="8"/>
  <c r="U126" i="8"/>
  <c r="T126" i="8"/>
  <c r="S126" i="8"/>
  <c r="N126" i="8"/>
  <c r="V125" i="8"/>
  <c r="U125" i="8"/>
  <c r="T125" i="8"/>
  <c r="S125" i="8"/>
  <c r="N125" i="8"/>
  <c r="V124" i="8"/>
  <c r="U124" i="8"/>
  <c r="T124" i="8"/>
  <c r="S124" i="8"/>
  <c r="N124" i="8"/>
  <c r="V123" i="8"/>
  <c r="U123" i="8"/>
  <c r="T123" i="8"/>
  <c r="S123" i="8"/>
  <c r="N123" i="8"/>
  <c r="V122" i="8"/>
  <c r="U122" i="8"/>
  <c r="T122" i="8"/>
  <c r="S122" i="8"/>
  <c r="N122" i="8"/>
  <c r="V121" i="8"/>
  <c r="U121" i="8"/>
  <c r="T121" i="8"/>
  <c r="S121" i="8"/>
  <c r="N121" i="8"/>
  <c r="V120" i="8"/>
  <c r="U120" i="8"/>
  <c r="T120" i="8"/>
  <c r="S120" i="8"/>
  <c r="N120" i="8"/>
  <c r="V119" i="8"/>
  <c r="U119" i="8"/>
  <c r="T119" i="8"/>
  <c r="S119" i="8"/>
  <c r="N119" i="8"/>
  <c r="V118" i="8"/>
  <c r="U118" i="8"/>
  <c r="T118" i="8"/>
  <c r="S118" i="8"/>
  <c r="N118" i="8"/>
  <c r="V117" i="8"/>
  <c r="U117" i="8"/>
  <c r="T117" i="8"/>
  <c r="S117" i="8"/>
  <c r="N117" i="8"/>
  <c r="V116" i="8"/>
  <c r="U116" i="8"/>
  <c r="T116" i="8"/>
  <c r="S116" i="8"/>
  <c r="N116" i="8"/>
  <c r="V115" i="8"/>
  <c r="U115" i="8"/>
  <c r="T115" i="8"/>
  <c r="S115" i="8"/>
  <c r="N115" i="8"/>
  <c r="V114" i="8"/>
  <c r="U114" i="8"/>
  <c r="T114" i="8"/>
  <c r="S114" i="8"/>
  <c r="N114" i="8"/>
  <c r="V113" i="8"/>
  <c r="U113" i="8"/>
  <c r="T113" i="8"/>
  <c r="S113" i="8"/>
  <c r="N113" i="8"/>
  <c r="V112" i="8"/>
  <c r="U112" i="8"/>
  <c r="T112" i="8"/>
  <c r="S112" i="8"/>
  <c r="N112" i="8"/>
  <c r="V111" i="8"/>
  <c r="U111" i="8"/>
  <c r="T111" i="8"/>
  <c r="S111" i="8"/>
  <c r="N111" i="8"/>
  <c r="V110" i="8"/>
  <c r="U110" i="8"/>
  <c r="T110" i="8"/>
  <c r="S110" i="8"/>
  <c r="N110" i="8"/>
  <c r="V109" i="8"/>
  <c r="U109" i="8"/>
  <c r="T109" i="8"/>
  <c r="S109" i="8"/>
  <c r="N109" i="8"/>
  <c r="V108" i="8"/>
  <c r="U108" i="8"/>
  <c r="T108" i="8"/>
  <c r="S108" i="8"/>
  <c r="N108" i="8"/>
  <c r="V107" i="8"/>
  <c r="U107" i="8"/>
  <c r="T107" i="8"/>
  <c r="S107" i="8"/>
  <c r="N107" i="8"/>
  <c r="V106" i="8"/>
  <c r="U106" i="8"/>
  <c r="T106" i="8"/>
  <c r="S106" i="8"/>
  <c r="N106" i="8"/>
  <c r="V105" i="8"/>
  <c r="U105" i="8"/>
  <c r="T105" i="8"/>
  <c r="S105" i="8"/>
  <c r="N105" i="8"/>
  <c r="V104" i="8"/>
  <c r="U104" i="8"/>
  <c r="T104" i="8"/>
  <c r="S104" i="8"/>
  <c r="N104" i="8"/>
  <c r="V103" i="8"/>
  <c r="U103" i="8"/>
  <c r="T103" i="8"/>
  <c r="S103" i="8"/>
  <c r="N103" i="8"/>
  <c r="V102" i="8"/>
  <c r="U102" i="8"/>
  <c r="T102" i="8"/>
  <c r="S102" i="8"/>
  <c r="N102" i="8"/>
  <c r="V101" i="8"/>
  <c r="U101" i="8"/>
  <c r="T101" i="8"/>
  <c r="S101" i="8"/>
  <c r="N101" i="8"/>
  <c r="V100" i="8"/>
  <c r="U100" i="8"/>
  <c r="T100" i="8"/>
  <c r="S100" i="8"/>
  <c r="N100" i="8"/>
  <c r="V99" i="8"/>
  <c r="U99" i="8"/>
  <c r="T99" i="8"/>
  <c r="S99" i="8"/>
  <c r="N99" i="8"/>
  <c r="V98" i="8"/>
  <c r="U98" i="8"/>
  <c r="T98" i="8"/>
  <c r="S98" i="8"/>
  <c r="N98" i="8"/>
  <c r="V97" i="8"/>
  <c r="U97" i="8"/>
  <c r="T97" i="8"/>
  <c r="S97" i="8"/>
  <c r="N97" i="8"/>
  <c r="V96" i="8"/>
  <c r="U96" i="8"/>
  <c r="T96" i="8"/>
  <c r="S96" i="8"/>
  <c r="N96" i="8"/>
  <c r="V95" i="8"/>
  <c r="U95" i="8"/>
  <c r="T95" i="8"/>
  <c r="S95" i="8"/>
  <c r="N95" i="8"/>
  <c r="V94" i="8"/>
  <c r="U94" i="8"/>
  <c r="T94" i="8"/>
  <c r="S94" i="8"/>
  <c r="N94" i="8"/>
  <c r="V93" i="8"/>
  <c r="U93" i="8"/>
  <c r="T93" i="8"/>
  <c r="S93" i="8"/>
  <c r="N93" i="8"/>
  <c r="V92" i="8"/>
  <c r="U92" i="8"/>
  <c r="T92" i="8"/>
  <c r="S92" i="8"/>
  <c r="N92" i="8"/>
  <c r="V91" i="8"/>
  <c r="U91" i="8"/>
  <c r="T91" i="8"/>
  <c r="S91" i="8"/>
  <c r="N91" i="8"/>
  <c r="V90" i="8"/>
  <c r="U90" i="8"/>
  <c r="T90" i="8"/>
  <c r="S90" i="8"/>
  <c r="N90" i="8"/>
  <c r="V89" i="8"/>
  <c r="U89" i="8"/>
  <c r="T89" i="8"/>
  <c r="S89" i="8"/>
  <c r="N89" i="8"/>
  <c r="V88" i="8"/>
  <c r="U88" i="8"/>
  <c r="T88" i="8"/>
  <c r="S88" i="8"/>
  <c r="N88" i="8"/>
  <c r="V87" i="8"/>
  <c r="U87" i="8"/>
  <c r="T87" i="8"/>
  <c r="S87" i="8"/>
  <c r="N87" i="8"/>
  <c r="V86" i="8"/>
  <c r="U86" i="8"/>
  <c r="T86" i="8"/>
  <c r="S86" i="8"/>
  <c r="N86" i="8"/>
  <c r="V85" i="8"/>
  <c r="U85" i="8"/>
  <c r="T85" i="8"/>
  <c r="S85" i="8"/>
  <c r="N85" i="8"/>
  <c r="V84" i="8"/>
  <c r="U84" i="8"/>
  <c r="T84" i="8"/>
  <c r="S84" i="8"/>
  <c r="N84" i="8"/>
  <c r="V83" i="8"/>
  <c r="U83" i="8"/>
  <c r="T83" i="8"/>
  <c r="S83" i="8"/>
  <c r="N83" i="8"/>
  <c r="V82" i="8"/>
  <c r="U82" i="8"/>
  <c r="T82" i="8"/>
  <c r="S82" i="8"/>
  <c r="N82" i="8"/>
  <c r="V81" i="8"/>
  <c r="U81" i="8"/>
  <c r="T81" i="8"/>
  <c r="S81" i="8"/>
  <c r="N81" i="8"/>
  <c r="V80" i="8"/>
  <c r="U80" i="8"/>
  <c r="T80" i="8"/>
  <c r="S80" i="8"/>
  <c r="N80" i="8"/>
  <c r="V79" i="8"/>
  <c r="U79" i="8"/>
  <c r="T79" i="8"/>
  <c r="S79" i="8"/>
  <c r="N79" i="8"/>
  <c r="V78" i="8"/>
  <c r="U78" i="8"/>
  <c r="T78" i="8"/>
  <c r="S78" i="8"/>
  <c r="N78" i="8"/>
  <c r="V77" i="8"/>
  <c r="U77" i="8"/>
  <c r="T77" i="8"/>
  <c r="S77" i="8"/>
  <c r="N77" i="8"/>
  <c r="V76" i="8"/>
  <c r="U76" i="8"/>
  <c r="T76" i="8"/>
  <c r="S76" i="8"/>
  <c r="N76" i="8"/>
  <c r="V75" i="8"/>
  <c r="U75" i="8"/>
  <c r="T75" i="8"/>
  <c r="S75" i="8"/>
  <c r="N75" i="8"/>
  <c r="V74" i="8"/>
  <c r="U74" i="8"/>
  <c r="T74" i="8"/>
  <c r="S74" i="8"/>
  <c r="N74" i="8"/>
  <c r="V73" i="8"/>
  <c r="U73" i="8"/>
  <c r="T73" i="8"/>
  <c r="S73" i="8"/>
  <c r="N73" i="8"/>
  <c r="V72" i="8"/>
  <c r="U72" i="8"/>
  <c r="T72" i="8"/>
  <c r="S72" i="8"/>
  <c r="N72" i="8"/>
  <c r="V71" i="8"/>
  <c r="U71" i="8"/>
  <c r="T71" i="8"/>
  <c r="S71" i="8"/>
  <c r="N71" i="8"/>
  <c r="V70" i="8"/>
  <c r="U70" i="8"/>
  <c r="T70" i="8"/>
  <c r="S70" i="8"/>
  <c r="N70" i="8"/>
  <c r="V69" i="8"/>
  <c r="U69" i="8"/>
  <c r="T69" i="8"/>
  <c r="S69" i="8"/>
  <c r="N69" i="8"/>
  <c r="V68" i="8"/>
  <c r="U68" i="8"/>
  <c r="T68" i="8"/>
  <c r="S68" i="8"/>
  <c r="N68" i="8"/>
  <c r="V67" i="8"/>
  <c r="U67" i="8"/>
  <c r="T67" i="8"/>
  <c r="S67" i="8"/>
  <c r="N67" i="8"/>
  <c r="V66" i="8"/>
  <c r="U66" i="8"/>
  <c r="T66" i="8"/>
  <c r="S66" i="8"/>
  <c r="N66" i="8"/>
  <c r="V65" i="8"/>
  <c r="U65" i="8"/>
  <c r="T65" i="8"/>
  <c r="S65" i="8"/>
  <c r="N65" i="8"/>
  <c r="V64" i="8"/>
  <c r="U64" i="8"/>
  <c r="T64" i="8"/>
  <c r="S64" i="8"/>
  <c r="N64" i="8"/>
  <c r="V63" i="8"/>
  <c r="U63" i="8"/>
  <c r="T63" i="8"/>
  <c r="S63" i="8"/>
  <c r="N63" i="8"/>
  <c r="V62" i="8"/>
  <c r="U62" i="8"/>
  <c r="T62" i="8"/>
  <c r="S62" i="8"/>
  <c r="N62" i="8"/>
  <c r="V61" i="8"/>
  <c r="U61" i="8"/>
  <c r="T61" i="8"/>
  <c r="S61" i="8"/>
  <c r="N61" i="8"/>
  <c r="V60" i="8"/>
  <c r="U60" i="8"/>
  <c r="T60" i="8"/>
  <c r="S60" i="8"/>
  <c r="N60" i="8"/>
  <c r="V59" i="8"/>
  <c r="U59" i="8"/>
  <c r="T59" i="8"/>
  <c r="S59" i="8"/>
  <c r="N59" i="8"/>
  <c r="V58" i="8"/>
  <c r="U58" i="8"/>
  <c r="T58" i="8"/>
  <c r="S58" i="8"/>
  <c r="N58" i="8"/>
  <c r="V57" i="8"/>
  <c r="U57" i="8"/>
  <c r="T57" i="8"/>
  <c r="S57" i="8"/>
  <c r="N57" i="8"/>
  <c r="V56" i="8"/>
  <c r="U56" i="8"/>
  <c r="T56" i="8"/>
  <c r="S56" i="8"/>
  <c r="N56" i="8"/>
  <c r="V55" i="8"/>
  <c r="U55" i="8"/>
  <c r="T55" i="8"/>
  <c r="S55" i="8"/>
  <c r="N55" i="8"/>
  <c r="V54" i="8"/>
  <c r="U54" i="8"/>
  <c r="T54" i="8"/>
  <c r="S54" i="8"/>
  <c r="N54" i="8"/>
  <c r="V53" i="8"/>
  <c r="U53" i="8"/>
  <c r="T53" i="8"/>
  <c r="S53" i="8"/>
  <c r="N53" i="8"/>
  <c r="V52" i="8"/>
  <c r="U52" i="8"/>
  <c r="T52" i="8"/>
  <c r="S52" i="8"/>
  <c r="N52" i="8"/>
  <c r="V51" i="8"/>
  <c r="U51" i="8"/>
  <c r="T51" i="8"/>
  <c r="S51" i="8"/>
  <c r="N51" i="8"/>
  <c r="V50" i="8"/>
  <c r="U50" i="8"/>
  <c r="T50" i="8"/>
  <c r="S50" i="8"/>
  <c r="N50" i="8"/>
  <c r="V49" i="8"/>
  <c r="U49" i="8"/>
  <c r="T49" i="8"/>
  <c r="S49" i="8"/>
  <c r="N49" i="8"/>
  <c r="V48" i="8"/>
  <c r="U48" i="8"/>
  <c r="T48" i="8"/>
  <c r="S48" i="8"/>
  <c r="N48" i="8"/>
  <c r="V47" i="8"/>
  <c r="U47" i="8"/>
  <c r="T47" i="8"/>
  <c r="S47" i="8"/>
  <c r="N47" i="8"/>
  <c r="V46" i="8"/>
  <c r="U46" i="8"/>
  <c r="T46" i="8"/>
  <c r="S46" i="8"/>
  <c r="N46" i="8"/>
  <c r="V45" i="8"/>
  <c r="U45" i="8"/>
  <c r="T45" i="8"/>
  <c r="S45" i="8"/>
  <c r="N45" i="8"/>
  <c r="V44" i="8"/>
  <c r="U44" i="8"/>
  <c r="T44" i="8"/>
  <c r="S44" i="8"/>
  <c r="N44" i="8"/>
  <c r="V43" i="8"/>
  <c r="U43" i="8"/>
  <c r="T43" i="8"/>
  <c r="S43" i="8"/>
  <c r="N43" i="8"/>
  <c r="V42" i="8"/>
  <c r="U42" i="8"/>
  <c r="T42" i="8"/>
  <c r="S42" i="8"/>
  <c r="N42" i="8"/>
  <c r="V41" i="8"/>
  <c r="U41" i="8"/>
  <c r="T41" i="8"/>
  <c r="S41" i="8"/>
  <c r="N41" i="8"/>
  <c r="V40" i="8"/>
  <c r="U40" i="8"/>
  <c r="T40" i="8"/>
  <c r="S40" i="8"/>
  <c r="N40" i="8"/>
  <c r="V39" i="8"/>
  <c r="U39" i="8"/>
  <c r="T39" i="8"/>
  <c r="S39" i="8"/>
  <c r="N39" i="8"/>
  <c r="V38" i="8"/>
  <c r="U38" i="8"/>
  <c r="T38" i="8"/>
  <c r="S38" i="8"/>
  <c r="N38" i="8"/>
  <c r="V37" i="8"/>
  <c r="U37" i="8"/>
  <c r="T37" i="8"/>
  <c r="S37" i="8"/>
  <c r="N37" i="8"/>
  <c r="V36" i="8"/>
  <c r="U36" i="8"/>
  <c r="T36" i="8"/>
  <c r="S36" i="8"/>
  <c r="N36" i="8"/>
  <c r="V35" i="8"/>
  <c r="U35" i="8"/>
  <c r="T35" i="8"/>
  <c r="S35" i="8"/>
  <c r="N35" i="8"/>
  <c r="V34" i="8"/>
  <c r="U34" i="8"/>
  <c r="T34" i="8"/>
  <c r="S34" i="8"/>
  <c r="N34" i="8"/>
  <c r="V33" i="8"/>
  <c r="U33" i="8"/>
  <c r="T33" i="8"/>
  <c r="S33" i="8"/>
  <c r="N33" i="8"/>
  <c r="V32" i="8"/>
  <c r="U32" i="8"/>
  <c r="T32" i="8"/>
  <c r="S32" i="8"/>
  <c r="N32" i="8"/>
  <c r="V31" i="8"/>
  <c r="U31" i="8"/>
  <c r="T31" i="8"/>
  <c r="S31" i="8"/>
  <c r="N31" i="8"/>
  <c r="V30" i="8"/>
  <c r="U30" i="8"/>
  <c r="T30" i="8"/>
  <c r="S30" i="8"/>
  <c r="N30" i="8"/>
  <c r="V29" i="8"/>
  <c r="U29" i="8"/>
  <c r="T29" i="8"/>
  <c r="S29" i="8"/>
  <c r="N29" i="8"/>
  <c r="V28" i="8"/>
  <c r="U28" i="8"/>
  <c r="T28" i="8"/>
  <c r="S28" i="8"/>
  <c r="N28" i="8"/>
  <c r="V27" i="8"/>
  <c r="U27" i="8"/>
  <c r="T27" i="8"/>
  <c r="S27" i="8"/>
  <c r="N27" i="8"/>
  <c r="V26" i="8"/>
  <c r="U26" i="8"/>
  <c r="T26" i="8"/>
  <c r="S26" i="8"/>
  <c r="N26" i="8"/>
  <c r="V25" i="8"/>
  <c r="U25" i="8"/>
  <c r="T25" i="8"/>
  <c r="S25" i="8"/>
  <c r="N25" i="8"/>
  <c r="V24" i="8"/>
  <c r="U24" i="8"/>
  <c r="T24" i="8"/>
  <c r="S24" i="8"/>
  <c r="N24" i="8"/>
  <c r="V23" i="8"/>
  <c r="U23" i="8"/>
  <c r="T23" i="8"/>
  <c r="S23" i="8"/>
  <c r="N23" i="8"/>
  <c r="V22" i="8"/>
  <c r="U22" i="8"/>
  <c r="T22" i="8"/>
  <c r="S22" i="8"/>
  <c r="N22" i="8"/>
  <c r="V21" i="8"/>
  <c r="U21" i="8"/>
  <c r="T21" i="8"/>
  <c r="S21" i="8"/>
  <c r="N21" i="8"/>
  <c r="V20" i="8"/>
  <c r="U20" i="8"/>
  <c r="T20" i="8"/>
  <c r="S20" i="8"/>
  <c r="N20" i="8"/>
  <c r="V19" i="8"/>
  <c r="U19" i="8"/>
  <c r="T19" i="8"/>
  <c r="S19" i="8"/>
  <c r="N19" i="8"/>
  <c r="V18" i="8"/>
  <c r="U18" i="8"/>
  <c r="T18" i="8"/>
  <c r="N18" i="8"/>
  <c r="X156" i="8" l="1"/>
  <c r="X81" i="8"/>
  <c r="X25" i="8"/>
  <c r="X41" i="8"/>
  <c r="X57" i="8"/>
  <c r="X61" i="8"/>
  <c r="X69" i="8"/>
  <c r="X153" i="8"/>
  <c r="X34" i="8"/>
  <c r="X126" i="8"/>
  <c r="X97" i="8"/>
  <c r="X113" i="8"/>
  <c r="X114" i="8"/>
  <c r="X49" i="8"/>
  <c r="X105" i="8"/>
  <c r="X77" i="8"/>
  <c r="X137" i="8"/>
  <c r="X19" i="8"/>
  <c r="X99" i="8"/>
  <c r="X89" i="8"/>
  <c r="X92" i="8"/>
  <c r="X145" i="8"/>
  <c r="X144" i="8"/>
  <c r="X55" i="8"/>
  <c r="X121" i="8"/>
  <c r="X141" i="8"/>
  <c r="X42" i="8"/>
  <c r="X46" i="8"/>
  <c r="X129" i="8"/>
  <c r="X135" i="8"/>
  <c r="X50" i="8"/>
  <c r="X54" i="8"/>
  <c r="X63" i="8"/>
  <c r="X71" i="8"/>
  <c r="X79" i="8"/>
  <c r="X85" i="8"/>
  <c r="X88" i="8"/>
  <c r="X100" i="8"/>
  <c r="X107" i="8"/>
  <c r="X122" i="8"/>
  <c r="X134" i="8"/>
  <c r="X143" i="8"/>
  <c r="X149" i="8"/>
  <c r="X152" i="8"/>
  <c r="X20" i="8"/>
  <c r="X24" i="8"/>
  <c r="X35" i="8"/>
  <c r="X62" i="8"/>
  <c r="X70" i="8"/>
  <c r="X78" i="8"/>
  <c r="X87" i="8"/>
  <c r="X93" i="8"/>
  <c r="X96" i="8"/>
  <c r="X108" i="8"/>
  <c r="X115" i="8"/>
  <c r="X130" i="8"/>
  <c r="X142" i="8"/>
  <c r="X151" i="8"/>
  <c r="X157" i="8"/>
  <c r="X28" i="8"/>
  <c r="X32" i="8"/>
  <c r="X36" i="8"/>
  <c r="X40" i="8"/>
  <c r="X43" i="8"/>
  <c r="X58" i="8"/>
  <c r="X66" i="8"/>
  <c r="X74" i="8"/>
  <c r="X86" i="8"/>
  <c r="X95" i="8"/>
  <c r="X101" i="8"/>
  <c r="X104" i="8"/>
  <c r="X116" i="8"/>
  <c r="X123" i="8"/>
  <c r="X138" i="8"/>
  <c r="X150" i="8"/>
  <c r="X21" i="8"/>
  <c r="X33" i="8"/>
  <c r="X44" i="8"/>
  <c r="X48" i="8"/>
  <c r="X51" i="8"/>
  <c r="X82" i="8"/>
  <c r="X94" i="8"/>
  <c r="X103" i="8"/>
  <c r="X109" i="8"/>
  <c r="X112" i="8"/>
  <c r="X124" i="8"/>
  <c r="X131" i="8"/>
  <c r="X146" i="8"/>
  <c r="X158" i="8"/>
  <c r="X18" i="8"/>
  <c r="X23" i="8"/>
  <c r="X29" i="8"/>
  <c r="X37" i="8"/>
  <c r="X52" i="8"/>
  <c r="X56" i="8"/>
  <c r="X59" i="8"/>
  <c r="X67" i="8"/>
  <c r="X75" i="8"/>
  <c r="X90" i="8"/>
  <c r="X102" i="8"/>
  <c r="X111" i="8"/>
  <c r="X117" i="8"/>
  <c r="X120" i="8"/>
  <c r="X132" i="8"/>
  <c r="X139" i="8"/>
  <c r="X154" i="8"/>
  <c r="X27" i="8"/>
  <c r="X22" i="8"/>
  <c r="X31" i="8"/>
  <c r="X39" i="8"/>
  <c r="X45" i="8"/>
  <c r="X60" i="8"/>
  <c r="X64" i="8"/>
  <c r="X68" i="8"/>
  <c r="X72" i="8"/>
  <c r="X76" i="8"/>
  <c r="X80" i="8"/>
  <c r="X83" i="8"/>
  <c r="X98" i="8"/>
  <c r="X110" i="8"/>
  <c r="X119" i="8"/>
  <c r="X125" i="8"/>
  <c r="X128" i="8"/>
  <c r="X140" i="8"/>
  <c r="X147" i="8"/>
  <c r="X26" i="8"/>
  <c r="X30" i="8"/>
  <c r="X38" i="8"/>
  <c r="X47" i="8"/>
  <c r="X53" i="8"/>
  <c r="X65" i="8"/>
  <c r="X73" i="8"/>
  <c r="X84" i="8"/>
  <c r="X91" i="8"/>
  <c r="X106" i="8"/>
  <c r="X118" i="8"/>
  <c r="X127" i="8"/>
  <c r="X133" i="8"/>
  <c r="X136" i="8"/>
  <c r="X148" i="8"/>
  <c r="X155" i="8"/>
  <c r="AZ18" i="8" l="1"/>
  <c r="BQ18" i="8" s="1" a="1"/>
  <c r="BQ18" i="8" s="1"/>
  <c r="AZ26" i="8"/>
  <c r="BQ26" i="8" s="1" a="1"/>
  <c r="BQ26" i="8" s="1"/>
  <c r="AZ34" i="8"/>
  <c r="BQ34" i="8" s="1" a="1"/>
  <c r="BQ34" i="8" s="1"/>
  <c r="AZ42" i="8"/>
  <c r="BQ42" i="8" s="1" a="1"/>
  <c r="BQ42" i="8" s="1"/>
  <c r="AZ50" i="8"/>
  <c r="BQ50" i="8" s="1" a="1"/>
  <c r="BQ50" i="8" s="1"/>
  <c r="AZ58" i="8"/>
  <c r="BQ58" i="8" s="1" a="1"/>
  <c r="BQ58" i="8" s="1"/>
  <c r="AZ66" i="8"/>
  <c r="BQ66" i="8" s="1" a="1"/>
  <c r="BQ66" i="8" s="1"/>
  <c r="AZ74" i="8"/>
  <c r="BQ74" i="8" s="1" a="1"/>
  <c r="BQ74" i="8" s="1"/>
  <c r="AZ82" i="8"/>
  <c r="BQ82" i="8" s="1" a="1"/>
  <c r="BQ82" i="8" s="1"/>
  <c r="AZ90" i="8"/>
  <c r="BQ90" i="8" s="1" a="1"/>
  <c r="BQ90" i="8" s="1"/>
  <c r="AZ98" i="8"/>
  <c r="BQ98" i="8" s="1" a="1"/>
  <c r="BQ98" i="8" s="1"/>
  <c r="AZ106" i="8"/>
  <c r="BQ106" i="8" s="1" a="1"/>
  <c r="BQ106" i="8" s="1"/>
  <c r="AZ114" i="8"/>
  <c r="BQ114" i="8" s="1" a="1"/>
  <c r="BQ114" i="8" s="1"/>
  <c r="AZ122" i="8"/>
  <c r="BQ122" i="8" s="1" a="1"/>
  <c r="BQ122" i="8" s="1"/>
  <c r="AZ130" i="8"/>
  <c r="BQ130" i="8" s="1" a="1"/>
  <c r="BQ130" i="8" s="1"/>
  <c r="AZ138" i="8"/>
  <c r="BQ138" i="8" s="1" a="1"/>
  <c r="BQ138" i="8" s="1"/>
  <c r="AZ146" i="8"/>
  <c r="BQ146" i="8" s="1" a="1"/>
  <c r="BQ146" i="8" s="1"/>
  <c r="AZ154" i="8"/>
  <c r="BQ154" i="8" s="1" a="1"/>
  <c r="BQ154" i="8" s="1"/>
  <c r="AZ104" i="8"/>
  <c r="BQ104" i="8" s="1" a="1"/>
  <c r="BQ104" i="8" s="1"/>
  <c r="AZ19" i="8"/>
  <c r="BQ19" i="8" s="1" a="1"/>
  <c r="BQ19" i="8" s="1"/>
  <c r="AZ27" i="8"/>
  <c r="BQ27" i="8" s="1" a="1"/>
  <c r="BQ27" i="8" s="1"/>
  <c r="AZ35" i="8"/>
  <c r="BQ35" i="8" s="1" a="1"/>
  <c r="BQ35" i="8" s="1"/>
  <c r="AZ43" i="8"/>
  <c r="BQ43" i="8" s="1" a="1"/>
  <c r="BQ43" i="8" s="1"/>
  <c r="AZ51" i="8"/>
  <c r="BQ51" i="8" s="1" a="1"/>
  <c r="BQ51" i="8" s="1"/>
  <c r="AZ59" i="8"/>
  <c r="BQ59" i="8" s="1" a="1"/>
  <c r="BQ59" i="8" s="1"/>
  <c r="AZ67" i="8"/>
  <c r="BQ67" i="8" s="1" a="1"/>
  <c r="BQ67" i="8" s="1"/>
  <c r="AZ75" i="8"/>
  <c r="BQ75" i="8" s="1" a="1"/>
  <c r="BQ75" i="8" s="1"/>
  <c r="AZ83" i="8"/>
  <c r="BQ83" i="8" s="1" a="1"/>
  <c r="BQ83" i="8" s="1"/>
  <c r="AZ91" i="8"/>
  <c r="BQ91" i="8" s="1" a="1"/>
  <c r="BQ91" i="8" s="1"/>
  <c r="AZ99" i="8"/>
  <c r="BQ99" i="8" s="1" a="1"/>
  <c r="BQ99" i="8" s="1"/>
  <c r="AZ107" i="8"/>
  <c r="BQ107" i="8" s="1" a="1"/>
  <c r="BQ107" i="8" s="1"/>
  <c r="AZ115" i="8"/>
  <c r="BQ115" i="8" s="1" a="1"/>
  <c r="BQ115" i="8" s="1"/>
  <c r="AZ123" i="8"/>
  <c r="BQ123" i="8" s="1" a="1"/>
  <c r="BQ123" i="8" s="1"/>
  <c r="AZ131" i="8"/>
  <c r="BQ131" i="8" s="1" a="1"/>
  <c r="BQ131" i="8" s="1"/>
  <c r="AZ139" i="8"/>
  <c r="BQ139" i="8" s="1" a="1"/>
  <c r="BQ139" i="8" s="1"/>
  <c r="AZ147" i="8"/>
  <c r="BQ147" i="8" s="1" a="1"/>
  <c r="BQ147" i="8" s="1"/>
  <c r="AZ155" i="8"/>
  <c r="BQ155" i="8" s="1" a="1"/>
  <c r="BQ155" i="8" s="1"/>
  <c r="AZ20" i="8"/>
  <c r="BQ20" i="8" s="1" a="1"/>
  <c r="BQ20" i="8" s="1"/>
  <c r="AZ28" i="8"/>
  <c r="BQ28" i="8" s="1" a="1"/>
  <c r="BQ28" i="8" s="1"/>
  <c r="AZ36" i="8"/>
  <c r="BQ36" i="8" s="1" a="1"/>
  <c r="BQ36" i="8" s="1"/>
  <c r="AZ44" i="8"/>
  <c r="BQ44" i="8" s="1" a="1"/>
  <c r="BQ44" i="8" s="1"/>
  <c r="AZ52" i="8"/>
  <c r="BQ52" i="8" s="1" a="1"/>
  <c r="BQ52" i="8" s="1"/>
  <c r="AZ60" i="8"/>
  <c r="BQ60" i="8" s="1" a="1"/>
  <c r="BQ60" i="8" s="1"/>
  <c r="AZ68" i="8"/>
  <c r="BQ68" i="8" s="1" a="1"/>
  <c r="BQ68" i="8" s="1"/>
  <c r="AZ76" i="8"/>
  <c r="BQ76" i="8" s="1" a="1"/>
  <c r="BQ76" i="8" s="1"/>
  <c r="AZ84" i="8"/>
  <c r="BQ84" i="8" s="1" a="1"/>
  <c r="BQ84" i="8" s="1"/>
  <c r="AZ92" i="8"/>
  <c r="BQ92" i="8" s="1" a="1"/>
  <c r="BQ92" i="8" s="1"/>
  <c r="AZ100" i="8"/>
  <c r="BQ100" i="8" s="1" a="1"/>
  <c r="BQ100" i="8" s="1"/>
  <c r="AZ108" i="8"/>
  <c r="BQ108" i="8" s="1" a="1"/>
  <c r="BQ108" i="8" s="1"/>
  <c r="AZ116" i="8"/>
  <c r="BQ116" i="8" s="1" a="1"/>
  <c r="BQ116" i="8" s="1"/>
  <c r="AZ124" i="8"/>
  <c r="BQ124" i="8" s="1" a="1"/>
  <c r="BQ124" i="8" s="1"/>
  <c r="AZ132" i="8"/>
  <c r="BQ132" i="8" s="1" a="1"/>
  <c r="BQ132" i="8" s="1"/>
  <c r="AZ140" i="8"/>
  <c r="BQ140" i="8" s="1" a="1"/>
  <c r="BQ140" i="8" s="1"/>
  <c r="AZ148" i="8"/>
  <c r="BQ148" i="8" s="1" a="1"/>
  <c r="BQ148" i="8" s="1"/>
  <c r="AZ156" i="8"/>
  <c r="BQ156" i="8" s="1" a="1"/>
  <c r="BQ156" i="8" s="1"/>
  <c r="AZ112" i="8"/>
  <c r="BQ112" i="8" s="1" a="1"/>
  <c r="BQ112" i="8" s="1"/>
  <c r="AZ21" i="8"/>
  <c r="BQ21" i="8" s="1" a="1"/>
  <c r="BQ21" i="8" s="1"/>
  <c r="AZ29" i="8"/>
  <c r="BQ29" i="8" s="1" a="1"/>
  <c r="BQ29" i="8" s="1"/>
  <c r="AZ37" i="8"/>
  <c r="BQ37" i="8" s="1" a="1"/>
  <c r="BQ37" i="8" s="1"/>
  <c r="AZ45" i="8"/>
  <c r="BQ45" i="8" s="1" a="1"/>
  <c r="BQ45" i="8" s="1"/>
  <c r="AZ53" i="8"/>
  <c r="BQ53" i="8" s="1" a="1"/>
  <c r="BQ53" i="8" s="1"/>
  <c r="AZ61" i="8"/>
  <c r="BQ61" i="8" s="1" a="1"/>
  <c r="BQ61" i="8" s="1"/>
  <c r="AZ69" i="8"/>
  <c r="BQ69" i="8" s="1" a="1"/>
  <c r="BQ69" i="8" s="1"/>
  <c r="AZ77" i="8"/>
  <c r="BQ77" i="8" s="1" a="1"/>
  <c r="BQ77" i="8" s="1"/>
  <c r="AZ85" i="8"/>
  <c r="BQ85" i="8" s="1" a="1"/>
  <c r="BQ85" i="8" s="1"/>
  <c r="AZ93" i="8"/>
  <c r="BQ93" i="8" s="1" a="1"/>
  <c r="BQ93" i="8" s="1"/>
  <c r="AZ101" i="8"/>
  <c r="BQ101" i="8" s="1" a="1"/>
  <c r="BQ101" i="8" s="1"/>
  <c r="AZ109" i="8"/>
  <c r="BQ109" i="8" s="1" a="1"/>
  <c r="BQ109" i="8" s="1"/>
  <c r="AZ117" i="8"/>
  <c r="BQ117" i="8" s="1" a="1"/>
  <c r="BQ117" i="8" s="1"/>
  <c r="AZ125" i="8"/>
  <c r="BQ125" i="8" s="1" a="1"/>
  <c r="BQ125" i="8" s="1"/>
  <c r="AZ133" i="8"/>
  <c r="BQ133" i="8" s="1" a="1"/>
  <c r="BQ133" i="8" s="1"/>
  <c r="AZ141" i="8"/>
  <c r="BQ141" i="8" s="1" a="1"/>
  <c r="BQ141" i="8" s="1"/>
  <c r="AZ149" i="8"/>
  <c r="BQ149" i="8" s="1" a="1"/>
  <c r="BQ149" i="8" s="1"/>
  <c r="AZ157" i="8"/>
  <c r="BQ157" i="8" s="1" a="1"/>
  <c r="BQ157" i="8" s="1"/>
  <c r="AZ80" i="8"/>
  <c r="BQ80" i="8" s="1" a="1"/>
  <c r="BQ80" i="8" s="1"/>
  <c r="AZ22" i="8"/>
  <c r="BQ22" i="8" s="1" a="1"/>
  <c r="BQ22" i="8" s="1"/>
  <c r="AZ30" i="8"/>
  <c r="BQ30" i="8" s="1" a="1"/>
  <c r="BQ30" i="8" s="1"/>
  <c r="AZ38" i="8"/>
  <c r="BQ38" i="8" s="1" a="1"/>
  <c r="BQ38" i="8" s="1"/>
  <c r="AZ46" i="8"/>
  <c r="BQ46" i="8" s="1" a="1"/>
  <c r="BQ46" i="8" s="1"/>
  <c r="AZ54" i="8"/>
  <c r="BQ54" i="8" s="1" a="1"/>
  <c r="BQ54" i="8" s="1"/>
  <c r="AZ62" i="8"/>
  <c r="BQ62" i="8" s="1" a="1"/>
  <c r="BQ62" i="8" s="1"/>
  <c r="AZ70" i="8"/>
  <c r="BQ70" i="8" s="1" a="1"/>
  <c r="BQ70" i="8" s="1"/>
  <c r="AZ78" i="8"/>
  <c r="BQ78" i="8" s="1" a="1"/>
  <c r="BQ78" i="8" s="1"/>
  <c r="AZ86" i="8"/>
  <c r="BQ86" i="8" s="1" a="1"/>
  <c r="BQ86" i="8" s="1"/>
  <c r="AZ94" i="8"/>
  <c r="BQ94" i="8" s="1" a="1"/>
  <c r="BQ94" i="8" s="1"/>
  <c r="AZ102" i="8"/>
  <c r="BQ102" i="8" s="1" a="1"/>
  <c r="BQ102" i="8" s="1"/>
  <c r="AZ110" i="8"/>
  <c r="BQ110" i="8" s="1" a="1"/>
  <c r="BQ110" i="8" s="1"/>
  <c r="AZ118" i="8"/>
  <c r="BQ118" i="8" s="1" a="1"/>
  <c r="BQ118" i="8" s="1"/>
  <c r="AZ126" i="8"/>
  <c r="BQ126" i="8" s="1" a="1"/>
  <c r="BQ126" i="8" s="1"/>
  <c r="AZ134" i="8"/>
  <c r="BQ134" i="8" s="1" a="1"/>
  <c r="BQ134" i="8" s="1"/>
  <c r="AZ142" i="8"/>
  <c r="BQ142" i="8" s="1" a="1"/>
  <c r="BQ142" i="8" s="1"/>
  <c r="AZ150" i="8"/>
  <c r="BQ150" i="8" s="1" a="1"/>
  <c r="BQ150" i="8" s="1"/>
  <c r="AZ158" i="8"/>
  <c r="BQ158" i="8" s="1" a="1"/>
  <c r="BQ158" i="8" s="1"/>
  <c r="AZ32" i="8"/>
  <c r="BQ32" i="8" s="1" a="1"/>
  <c r="BQ32" i="8" s="1"/>
  <c r="AZ40" i="8"/>
  <c r="BQ40" i="8" s="1" a="1"/>
  <c r="BQ40" i="8" s="1"/>
  <c r="AZ48" i="8"/>
  <c r="BQ48" i="8" s="1" a="1"/>
  <c r="BQ48" i="8" s="1"/>
  <c r="AZ56" i="8"/>
  <c r="BQ56" i="8" s="1" a="1"/>
  <c r="BQ56" i="8" s="1"/>
  <c r="AZ64" i="8"/>
  <c r="BQ64" i="8" s="1" a="1"/>
  <c r="BQ64" i="8" s="1"/>
  <c r="AZ72" i="8"/>
  <c r="BQ72" i="8" s="1" a="1"/>
  <c r="BQ72" i="8" s="1"/>
  <c r="AZ88" i="8"/>
  <c r="BQ88" i="8" s="1" a="1"/>
  <c r="BQ88" i="8" s="1"/>
  <c r="AZ96" i="8"/>
  <c r="BQ96" i="8" s="1" a="1"/>
  <c r="BQ96" i="8" s="1"/>
  <c r="AZ120" i="8"/>
  <c r="BQ120" i="8" s="1" a="1"/>
  <c r="BQ120" i="8" s="1"/>
  <c r="AZ136" i="8"/>
  <c r="BQ136" i="8" s="1" a="1"/>
  <c r="BQ136" i="8" s="1"/>
  <c r="AZ144" i="8"/>
  <c r="BQ144" i="8" s="1" a="1"/>
  <c r="BQ144" i="8" s="1"/>
  <c r="AZ23" i="8"/>
  <c r="BQ23" i="8" s="1" a="1"/>
  <c r="BQ23" i="8" s="1"/>
  <c r="AZ31" i="8"/>
  <c r="BQ31" i="8" s="1" a="1"/>
  <c r="BQ31" i="8" s="1"/>
  <c r="AZ39" i="8"/>
  <c r="BQ39" i="8" s="1" a="1"/>
  <c r="BQ39" i="8" s="1"/>
  <c r="AZ47" i="8"/>
  <c r="BQ47" i="8" s="1" a="1"/>
  <c r="BQ47" i="8" s="1"/>
  <c r="AZ55" i="8"/>
  <c r="BQ55" i="8" s="1" a="1"/>
  <c r="BQ55" i="8" s="1"/>
  <c r="AZ63" i="8"/>
  <c r="BQ63" i="8" s="1" a="1"/>
  <c r="BQ63" i="8" s="1"/>
  <c r="AZ71" i="8"/>
  <c r="BQ71" i="8" s="1" a="1"/>
  <c r="BQ71" i="8" s="1"/>
  <c r="AZ79" i="8"/>
  <c r="BQ79" i="8" s="1" a="1"/>
  <c r="BQ79" i="8" s="1"/>
  <c r="AZ87" i="8"/>
  <c r="BQ87" i="8" s="1" a="1"/>
  <c r="BQ87" i="8" s="1"/>
  <c r="AZ95" i="8"/>
  <c r="BQ95" i="8" s="1" a="1"/>
  <c r="BQ95" i="8" s="1"/>
  <c r="AZ103" i="8"/>
  <c r="BQ103" i="8" s="1" a="1"/>
  <c r="BQ103" i="8" s="1"/>
  <c r="AZ111" i="8"/>
  <c r="BQ111" i="8" s="1" a="1"/>
  <c r="BQ111" i="8" s="1"/>
  <c r="AZ119" i="8"/>
  <c r="BQ119" i="8" s="1" a="1"/>
  <c r="BQ119" i="8" s="1"/>
  <c r="AZ127" i="8"/>
  <c r="BQ127" i="8" s="1" a="1"/>
  <c r="BQ127" i="8" s="1"/>
  <c r="AZ135" i="8"/>
  <c r="BQ135" i="8" s="1" a="1"/>
  <c r="BQ135" i="8" s="1"/>
  <c r="AZ143" i="8"/>
  <c r="BQ143" i="8" s="1" a="1"/>
  <c r="BQ143" i="8" s="1"/>
  <c r="AZ151" i="8"/>
  <c r="BQ151" i="8" s="1" a="1"/>
  <c r="BQ151" i="8" s="1"/>
  <c r="AZ24" i="8"/>
  <c r="BQ24" i="8" s="1" a="1"/>
  <c r="BQ24" i="8" s="1"/>
  <c r="AZ128" i="8"/>
  <c r="BQ128" i="8" s="1" a="1"/>
  <c r="BQ128" i="8" s="1"/>
  <c r="AZ152" i="8"/>
  <c r="BQ152" i="8" s="1" a="1"/>
  <c r="BQ152" i="8" s="1"/>
  <c r="AZ25" i="8"/>
  <c r="BQ25" i="8" s="1" a="1"/>
  <c r="BQ25" i="8" s="1"/>
  <c r="AZ33" i="8"/>
  <c r="BQ33" i="8" s="1" a="1"/>
  <c r="BQ33" i="8" s="1"/>
  <c r="AZ41" i="8"/>
  <c r="BQ41" i="8" s="1" a="1"/>
  <c r="BQ41" i="8" s="1"/>
  <c r="AZ49" i="8"/>
  <c r="BQ49" i="8" s="1" a="1"/>
  <c r="BQ49" i="8" s="1"/>
  <c r="AZ57" i="8"/>
  <c r="BQ57" i="8" s="1" a="1"/>
  <c r="BQ57" i="8" s="1"/>
  <c r="AZ65" i="8"/>
  <c r="BQ65" i="8" s="1" a="1"/>
  <c r="BQ65" i="8" s="1"/>
  <c r="AZ73" i="8"/>
  <c r="BQ73" i="8" s="1" a="1"/>
  <c r="BQ73" i="8" s="1"/>
  <c r="AZ81" i="8"/>
  <c r="BQ81" i="8" s="1" a="1"/>
  <c r="BQ81" i="8" s="1"/>
  <c r="AZ89" i="8"/>
  <c r="BQ89" i="8" s="1" a="1"/>
  <c r="BQ89" i="8" s="1"/>
  <c r="AZ97" i="8"/>
  <c r="BQ97" i="8" s="1" a="1"/>
  <c r="BQ97" i="8" s="1"/>
  <c r="AZ105" i="8"/>
  <c r="BQ105" i="8" s="1" a="1"/>
  <c r="BQ105" i="8" s="1"/>
  <c r="AZ113" i="8"/>
  <c r="BQ113" i="8" s="1" a="1"/>
  <c r="BQ113" i="8" s="1"/>
  <c r="AZ121" i="8"/>
  <c r="BQ121" i="8" s="1" a="1"/>
  <c r="BQ121" i="8" s="1"/>
  <c r="AZ129" i="8"/>
  <c r="BQ129" i="8" s="1" a="1"/>
  <c r="BQ129" i="8" s="1"/>
  <c r="AZ137" i="8"/>
  <c r="BQ137" i="8" s="1" a="1"/>
  <c r="BQ137" i="8" s="1"/>
  <c r="AZ145" i="8"/>
  <c r="BQ145" i="8" s="1" a="1"/>
  <c r="BQ145" i="8" s="1"/>
  <c r="AZ153" i="8"/>
  <c r="BQ153" i="8" s="1" a="1"/>
  <c r="BQ153" i="8" s="1"/>
  <c r="D8" i="2" l="1"/>
  <c r="D81" i="8"/>
  <c r="D145" i="8"/>
  <c r="D111" i="8"/>
  <c r="D152" i="8"/>
  <c r="D86" i="8"/>
  <c r="D78" i="8"/>
  <c r="D65" i="8"/>
  <c r="D31" i="8"/>
  <c r="D70" i="8"/>
  <c r="D57" i="8"/>
  <c r="D113" i="8"/>
  <c r="D49" i="8"/>
  <c r="D143" i="8"/>
  <c r="D79" i="8"/>
  <c r="D144" i="8"/>
  <c r="D48" i="8"/>
  <c r="D118" i="8"/>
  <c r="D54" i="8"/>
  <c r="D141" i="8"/>
  <c r="D77" i="8"/>
  <c r="D112" i="8"/>
  <c r="D100" i="8"/>
  <c r="D36" i="8"/>
  <c r="D115" i="8"/>
  <c r="D51" i="8"/>
  <c r="D138" i="8"/>
  <c r="D74" i="8"/>
  <c r="D150" i="8"/>
  <c r="D72" i="8"/>
  <c r="D41" i="8"/>
  <c r="D136" i="8"/>
  <c r="D46" i="8"/>
  <c r="D133" i="8"/>
  <c r="D69" i="8"/>
  <c r="D156" i="8"/>
  <c r="D92" i="8"/>
  <c r="D28" i="8"/>
  <c r="D107" i="8"/>
  <c r="D43" i="8"/>
  <c r="D130" i="8"/>
  <c r="D66" i="8"/>
  <c r="D47" i="8"/>
  <c r="D103" i="8"/>
  <c r="D105" i="8"/>
  <c r="D71" i="8"/>
  <c r="D110" i="8"/>
  <c r="D97" i="8"/>
  <c r="D33" i="8"/>
  <c r="D127" i="8"/>
  <c r="D63" i="8"/>
  <c r="D120" i="8"/>
  <c r="D32" i="8"/>
  <c r="D102" i="8"/>
  <c r="D38" i="8"/>
  <c r="D125" i="8"/>
  <c r="D61" i="8"/>
  <c r="D148" i="8"/>
  <c r="D84" i="8"/>
  <c r="D20" i="8"/>
  <c r="D99" i="8"/>
  <c r="D35" i="8"/>
  <c r="D122" i="8"/>
  <c r="D58" i="8"/>
  <c r="D128" i="8"/>
  <c r="D101" i="8"/>
  <c r="D135" i="8"/>
  <c r="D40" i="8"/>
  <c r="D153" i="8"/>
  <c r="D89" i="8"/>
  <c r="D25" i="8"/>
  <c r="D119" i="8"/>
  <c r="D55" i="8"/>
  <c r="D96" i="8"/>
  <c r="D158" i="8"/>
  <c r="D94" i="8"/>
  <c r="D30" i="8"/>
  <c r="D117" i="8"/>
  <c r="D53" i="8"/>
  <c r="D140" i="8"/>
  <c r="D76" i="8"/>
  <c r="D155" i="8"/>
  <c r="D91" i="8"/>
  <c r="D27" i="8"/>
  <c r="D114" i="8"/>
  <c r="D50" i="8"/>
  <c r="D22" i="8"/>
  <c r="D109" i="8"/>
  <c r="D45" i="8"/>
  <c r="D132" i="8"/>
  <c r="D68" i="8"/>
  <c r="D147" i="8"/>
  <c r="D83" i="8"/>
  <c r="D19" i="8"/>
  <c r="D106" i="8"/>
  <c r="D42" i="8"/>
  <c r="D73" i="8"/>
  <c r="D80" i="8"/>
  <c r="D37" i="8"/>
  <c r="D124" i="8"/>
  <c r="D60" i="8"/>
  <c r="D139" i="8"/>
  <c r="D75" i="8"/>
  <c r="D104" i="8"/>
  <c r="D98" i="8"/>
  <c r="D34" i="8"/>
  <c r="D137" i="8"/>
  <c r="D142" i="8"/>
  <c r="D24" i="8"/>
  <c r="D64" i="8"/>
  <c r="D157" i="8"/>
  <c r="D93" i="8"/>
  <c r="D29" i="8"/>
  <c r="D116" i="8"/>
  <c r="D52" i="8"/>
  <c r="D131" i="8"/>
  <c r="D67" i="8"/>
  <c r="D154" i="8"/>
  <c r="D90" i="8"/>
  <c r="D26" i="8"/>
  <c r="D88" i="8"/>
  <c r="D39" i="8"/>
  <c r="D129" i="8"/>
  <c r="D95" i="8"/>
  <c r="D134" i="8"/>
  <c r="D121" i="8"/>
  <c r="D151" i="8"/>
  <c r="D87" i="8"/>
  <c r="D23" i="8"/>
  <c r="D56" i="8"/>
  <c r="D126" i="8"/>
  <c r="D62" i="8"/>
  <c r="D149" i="8"/>
  <c r="D85" i="8"/>
  <c r="D21" i="8"/>
  <c r="D108" i="8"/>
  <c r="D44" i="8"/>
  <c r="D123" i="8"/>
  <c r="D59" i="8"/>
  <c r="D146" i="8"/>
  <c r="D82" i="8"/>
  <c r="D18" i="8"/>
  <c r="N24" i="2"/>
  <c r="N21" i="2"/>
  <c r="N10" i="2"/>
  <c r="N22" i="2"/>
  <c r="N20" i="2"/>
  <c r="N12" i="2"/>
  <c r="N17" i="2"/>
  <c r="N23" i="2"/>
  <c r="N16" i="2"/>
  <c r="N25" i="2"/>
  <c r="N15" i="2"/>
  <c r="N19" i="2"/>
  <c r="N11" i="2"/>
  <c r="N18" i="2"/>
  <c r="D134" i="2" l="1"/>
  <c r="J134" i="2" s="1"/>
  <c r="D130" i="2"/>
  <c r="J130" i="2" s="1"/>
  <c r="D126" i="2"/>
  <c r="J126" i="2" s="1"/>
  <c r="D122" i="2"/>
  <c r="J122" i="2" s="1"/>
  <c r="D118" i="2"/>
  <c r="J118" i="2" s="1"/>
  <c r="D114" i="2"/>
  <c r="J114" i="2" s="1"/>
  <c r="D110" i="2"/>
  <c r="J110" i="2" s="1"/>
  <c r="D106" i="2"/>
  <c r="J106" i="2" s="1"/>
  <c r="D101" i="2"/>
  <c r="J101" i="2" s="1"/>
  <c r="D94" i="2"/>
  <c r="J94" i="2" s="1"/>
  <c r="D90" i="2"/>
  <c r="J90" i="2" s="1"/>
  <c r="D78" i="2"/>
  <c r="J78" i="2" s="1"/>
  <c r="D72" i="2"/>
  <c r="J72" i="2" s="1"/>
  <c r="D64" i="2"/>
  <c r="J64" i="2" s="1"/>
  <c r="D61" i="2"/>
  <c r="J61" i="2" s="1"/>
  <c r="D55" i="2"/>
  <c r="J55" i="2" s="1"/>
  <c r="D49" i="2"/>
  <c r="J49" i="2" s="1"/>
  <c r="D46" i="2"/>
  <c r="J46" i="2" s="1"/>
  <c r="D43" i="2"/>
  <c r="J43" i="2" s="1"/>
  <c r="D36" i="2"/>
  <c r="J36" i="2" s="1"/>
  <c r="D29" i="2"/>
  <c r="J29" i="2" s="1"/>
  <c r="D26" i="2"/>
  <c r="J26" i="2" s="1"/>
  <c r="D16" i="2"/>
  <c r="J16" i="2" s="1"/>
  <c r="P36" i="2"/>
  <c r="O36" i="2"/>
  <c r="N36" i="2"/>
  <c r="D54" i="2"/>
  <c r="J54" i="2" s="1"/>
  <c r="D24" i="2"/>
  <c r="J24" i="2" s="1"/>
  <c r="D12" i="2"/>
  <c r="J12" i="2" s="1"/>
  <c r="O34" i="2"/>
  <c r="D145" i="2"/>
  <c r="J145" i="2" s="1"/>
  <c r="D74" i="2"/>
  <c r="J74" i="2" s="1"/>
  <c r="D65" i="2"/>
  <c r="J65" i="2" s="1"/>
  <c r="D28" i="2"/>
  <c r="J28" i="2" s="1"/>
  <c r="D138" i="2"/>
  <c r="J138" i="2" s="1"/>
  <c r="D133" i="2"/>
  <c r="J133" i="2" s="1"/>
  <c r="D125" i="2"/>
  <c r="J125" i="2" s="1"/>
  <c r="D117" i="2"/>
  <c r="J117" i="2" s="1"/>
  <c r="D109" i="2"/>
  <c r="J109" i="2" s="1"/>
  <c r="D92" i="2"/>
  <c r="J92" i="2" s="1"/>
  <c r="D75" i="2"/>
  <c r="J75" i="2" s="1"/>
  <c r="D71" i="2"/>
  <c r="J71" i="2" s="1"/>
  <c r="D66" i="2"/>
  <c r="J66" i="2" s="1"/>
  <c r="D60" i="2"/>
  <c r="J60" i="2" s="1"/>
  <c r="D57" i="2"/>
  <c r="J57" i="2" s="1"/>
  <c r="D51" i="2"/>
  <c r="J51" i="2" s="1"/>
  <c r="D48" i="2"/>
  <c r="J48" i="2" s="1"/>
  <c r="D44" i="2"/>
  <c r="J44" i="2" s="1"/>
  <c r="D39" i="2"/>
  <c r="J39" i="2" s="1"/>
  <c r="D25" i="2"/>
  <c r="J25" i="2" s="1"/>
  <c r="D22" i="2"/>
  <c r="J22" i="2" s="1"/>
  <c r="D11" i="2"/>
  <c r="J11" i="2" s="1"/>
  <c r="D147" i="2"/>
  <c r="J147" i="2" s="1"/>
  <c r="D143" i="2"/>
  <c r="J143" i="2" s="1"/>
  <c r="P35" i="2"/>
  <c r="O35" i="2"/>
  <c r="N35" i="2"/>
  <c r="D37" i="2"/>
  <c r="J37" i="2" s="1"/>
  <c r="P34" i="2"/>
  <c r="D32" i="2"/>
  <c r="J32" i="2" s="1"/>
  <c r="D149" i="2"/>
  <c r="J149" i="2" s="1"/>
  <c r="D103" i="2"/>
  <c r="J103" i="2" s="1"/>
  <c r="D80" i="2"/>
  <c r="J80" i="2" s="1"/>
  <c r="D50" i="2"/>
  <c r="J50" i="2" s="1"/>
  <c r="D97" i="2"/>
  <c r="J97" i="2" s="1"/>
  <c r="D89" i="2"/>
  <c r="J89" i="2" s="1"/>
  <c r="D85" i="2"/>
  <c r="J85" i="2" s="1"/>
  <c r="D70" i="2"/>
  <c r="J70" i="2" s="1"/>
  <c r="D63" i="2"/>
  <c r="J63" i="2" s="1"/>
  <c r="D52" i="2"/>
  <c r="J52" i="2" s="1"/>
  <c r="D10" i="2"/>
  <c r="J10" i="2" s="1"/>
  <c r="N34" i="2"/>
  <c r="O31" i="2"/>
  <c r="D86" i="2"/>
  <c r="J86" i="2" s="1"/>
  <c r="D17" i="2"/>
  <c r="J17" i="2" s="1"/>
  <c r="D129" i="2"/>
  <c r="J129" i="2" s="1"/>
  <c r="D121" i="2"/>
  <c r="J121" i="2" s="1"/>
  <c r="D113" i="2"/>
  <c r="J113" i="2" s="1"/>
  <c r="D105" i="2"/>
  <c r="J105" i="2" s="1"/>
  <c r="D100" i="2"/>
  <c r="J100" i="2" s="1"/>
  <c r="D96" i="2"/>
  <c r="J96" i="2" s="1"/>
  <c r="D91" i="2"/>
  <c r="J91" i="2" s="1"/>
  <c r="D68" i="2"/>
  <c r="J68" i="2" s="1"/>
  <c r="D62" i="2"/>
  <c r="J62" i="2" s="1"/>
  <c r="D47" i="2"/>
  <c r="J47" i="2" s="1"/>
  <c r="D45" i="2"/>
  <c r="J45" i="2" s="1"/>
  <c r="D34" i="2"/>
  <c r="J34" i="2" s="1"/>
  <c r="D30" i="2"/>
  <c r="J30" i="2" s="1"/>
  <c r="D19" i="2"/>
  <c r="J19" i="2" s="1"/>
  <c r="D15" i="2"/>
  <c r="J15" i="2" s="1"/>
  <c r="D150" i="2"/>
  <c r="J150" i="2" s="1"/>
  <c r="D146" i="2"/>
  <c r="J146" i="2" s="1"/>
  <c r="D142" i="2"/>
  <c r="J142" i="2" s="1"/>
  <c r="P33" i="2"/>
  <c r="O33" i="2"/>
  <c r="N33" i="2"/>
  <c r="D128" i="2"/>
  <c r="J128" i="2" s="1"/>
  <c r="D112" i="2"/>
  <c r="J112" i="2" s="1"/>
  <c r="D95" i="2"/>
  <c r="J95" i="2" s="1"/>
  <c r="D87" i="2"/>
  <c r="J87" i="2" s="1"/>
  <c r="D81" i="2"/>
  <c r="J81" i="2" s="1"/>
  <c r="D27" i="2"/>
  <c r="J27" i="2" s="1"/>
  <c r="D18" i="2"/>
  <c r="J18" i="2" s="1"/>
  <c r="P31" i="2"/>
  <c r="D136" i="2"/>
  <c r="J136" i="2" s="1"/>
  <c r="D56" i="2"/>
  <c r="J56" i="2" s="1"/>
  <c r="P30" i="2"/>
  <c r="D137" i="2"/>
  <c r="J137" i="2" s="1"/>
  <c r="D132" i="2"/>
  <c r="J132" i="2" s="1"/>
  <c r="D124" i="2"/>
  <c r="J124" i="2" s="1"/>
  <c r="D116" i="2"/>
  <c r="J116" i="2" s="1"/>
  <c r="D108" i="2"/>
  <c r="J108" i="2" s="1"/>
  <c r="D93" i="2"/>
  <c r="J93" i="2" s="1"/>
  <c r="D88" i="2"/>
  <c r="J88" i="2" s="1"/>
  <c r="D82" i="2"/>
  <c r="J82" i="2" s="1"/>
  <c r="D77" i="2"/>
  <c r="J77" i="2" s="1"/>
  <c r="D59" i="2"/>
  <c r="J59" i="2" s="1"/>
  <c r="D53" i="2"/>
  <c r="J53" i="2" s="1"/>
  <c r="D42" i="2"/>
  <c r="J42" i="2" s="1"/>
  <c r="D33" i="2"/>
  <c r="J33" i="2" s="1"/>
  <c r="D20" i="2"/>
  <c r="J20" i="2" s="1"/>
  <c r="D13" i="2"/>
  <c r="J13" i="2" s="1"/>
  <c r="P32" i="2"/>
  <c r="O32" i="2"/>
  <c r="N32" i="2"/>
  <c r="D120" i="2"/>
  <c r="J120" i="2" s="1"/>
  <c r="D104" i="2"/>
  <c r="J104" i="2" s="1"/>
  <c r="D84" i="2"/>
  <c r="J84" i="2" s="1"/>
  <c r="D67" i="2"/>
  <c r="J67" i="2" s="1"/>
  <c r="D38" i="2"/>
  <c r="J38" i="2" s="1"/>
  <c r="D23" i="2"/>
  <c r="J23" i="2" s="1"/>
  <c r="D141" i="2"/>
  <c r="J141" i="2" s="1"/>
  <c r="N31" i="2"/>
  <c r="D99" i="2"/>
  <c r="J99" i="2" s="1"/>
  <c r="D69" i="2"/>
  <c r="J69" i="2" s="1"/>
  <c r="D41" i="2"/>
  <c r="J41" i="2" s="1"/>
  <c r="D21" i="2"/>
  <c r="J21" i="2" s="1"/>
  <c r="D107" i="2"/>
  <c r="J107" i="2" s="1"/>
  <c r="D135" i="2"/>
  <c r="J135" i="2" s="1"/>
  <c r="D102" i="2"/>
  <c r="J102" i="2" s="1"/>
  <c r="D76" i="2"/>
  <c r="J76" i="2" s="1"/>
  <c r="D140" i="2"/>
  <c r="J140" i="2" s="1"/>
  <c r="D131" i="2"/>
  <c r="J131" i="2" s="1"/>
  <c r="D98" i="2"/>
  <c r="J98" i="2" s="1"/>
  <c r="D73" i="2"/>
  <c r="J73" i="2" s="1"/>
  <c r="D35" i="2"/>
  <c r="J35" i="2" s="1"/>
  <c r="D139" i="2"/>
  <c r="J139" i="2" s="1"/>
  <c r="D127" i="2"/>
  <c r="J127" i="2" s="1"/>
  <c r="D31" i="2"/>
  <c r="J31" i="2" s="1"/>
  <c r="D14" i="2"/>
  <c r="J14" i="2" s="1"/>
  <c r="P29" i="2"/>
  <c r="D119" i="2"/>
  <c r="J119" i="2" s="1"/>
  <c r="D115" i="2"/>
  <c r="J115" i="2" s="1"/>
  <c r="D111" i="2"/>
  <c r="J111" i="2" s="1"/>
  <c r="D83" i="2"/>
  <c r="J83" i="2" s="1"/>
  <c r="D58" i="2"/>
  <c r="J58" i="2" s="1"/>
  <c r="D40" i="2"/>
  <c r="J40" i="2" s="1"/>
  <c r="D148" i="2"/>
  <c r="J148" i="2" s="1"/>
  <c r="D79" i="2"/>
  <c r="J79" i="2" s="1"/>
  <c r="D144" i="2"/>
  <c r="J144" i="2" s="1"/>
  <c r="D123" i="2"/>
  <c r="J123" i="2" s="1"/>
  <c r="O30" i="2"/>
  <c r="O29" i="2"/>
  <c r="N30" i="2"/>
  <c r="N29" i="2"/>
  <c r="N64" i="2" l="1"/>
  <c r="N63" i="2"/>
  <c r="P64" i="2"/>
  <c r="N65" i="2"/>
  <c r="P63" i="2"/>
  <c r="O65" i="2"/>
  <c r="P65" i="2"/>
  <c r="O63" i="2"/>
  <c r="K144" i="2"/>
  <c r="F144" i="2"/>
  <c r="E144" i="2"/>
  <c r="H144" i="2"/>
  <c r="G144" i="2"/>
  <c r="I144" i="2"/>
  <c r="H119" i="2"/>
  <c r="G119" i="2"/>
  <c r="F119" i="2"/>
  <c r="E119" i="2"/>
  <c r="K119" i="2"/>
  <c r="I119" i="2"/>
  <c r="F98" i="2"/>
  <c r="E98" i="2"/>
  <c r="K98" i="2"/>
  <c r="H98" i="2"/>
  <c r="I98" i="2"/>
  <c r="G98" i="2"/>
  <c r="G41" i="2"/>
  <c r="E41" i="2"/>
  <c r="K41" i="2"/>
  <c r="H41" i="2"/>
  <c r="I41" i="2"/>
  <c r="F41" i="2"/>
  <c r="K84" i="2"/>
  <c r="H84" i="2"/>
  <c r="I84" i="2"/>
  <c r="F84" i="2"/>
  <c r="E84" i="2"/>
  <c r="G84" i="2"/>
  <c r="G33" i="2"/>
  <c r="F33" i="2"/>
  <c r="E33" i="2"/>
  <c r="K33" i="2"/>
  <c r="H33" i="2"/>
  <c r="I33" i="2"/>
  <c r="H108" i="2"/>
  <c r="K108" i="2"/>
  <c r="F108" i="2"/>
  <c r="E108" i="2"/>
  <c r="I108" i="2"/>
  <c r="G108" i="2"/>
  <c r="G30" i="2"/>
  <c r="K30" i="2"/>
  <c r="I30" i="2"/>
  <c r="H30" i="2"/>
  <c r="F30" i="2"/>
  <c r="E30" i="2"/>
  <c r="H100" i="2"/>
  <c r="F100" i="2"/>
  <c r="E100" i="2"/>
  <c r="K100" i="2"/>
  <c r="I100" i="2"/>
  <c r="G100" i="2"/>
  <c r="G50" i="2"/>
  <c r="H50" i="2"/>
  <c r="E50" i="2"/>
  <c r="F50" i="2"/>
  <c r="K50" i="2"/>
  <c r="I50" i="2"/>
  <c r="G44" i="2"/>
  <c r="F44" i="2"/>
  <c r="I44" i="2"/>
  <c r="K44" i="2"/>
  <c r="H44" i="2"/>
  <c r="E44" i="2"/>
  <c r="H92" i="2"/>
  <c r="K92" i="2"/>
  <c r="I92" i="2"/>
  <c r="E92" i="2"/>
  <c r="G92" i="2"/>
  <c r="F92" i="2"/>
  <c r="K74" i="2"/>
  <c r="I74" i="2"/>
  <c r="H74" i="2"/>
  <c r="F74" i="2"/>
  <c r="E74" i="2"/>
  <c r="G74" i="2"/>
  <c r="G55" i="2"/>
  <c r="H55" i="2"/>
  <c r="F55" i="2"/>
  <c r="E55" i="2"/>
  <c r="K55" i="2"/>
  <c r="I55" i="2"/>
  <c r="H106" i="2"/>
  <c r="G106" i="2"/>
  <c r="F106" i="2"/>
  <c r="E106" i="2"/>
  <c r="K106" i="2"/>
  <c r="I106" i="2"/>
  <c r="K79" i="2"/>
  <c r="E79" i="2"/>
  <c r="G79" i="2"/>
  <c r="H79" i="2"/>
  <c r="F79" i="2"/>
  <c r="I79" i="2"/>
  <c r="P62" i="2"/>
  <c r="P37" i="2"/>
  <c r="H131" i="2"/>
  <c r="K131" i="2"/>
  <c r="I131" i="2"/>
  <c r="E131" i="2"/>
  <c r="F131" i="2"/>
  <c r="G131" i="2"/>
  <c r="H69" i="2"/>
  <c r="K69" i="2"/>
  <c r="I69" i="2"/>
  <c r="G69" i="2"/>
  <c r="E69" i="2"/>
  <c r="F69" i="2"/>
  <c r="H104" i="2"/>
  <c r="G104" i="2"/>
  <c r="F104" i="2"/>
  <c r="E104" i="2"/>
  <c r="K104" i="2"/>
  <c r="I104" i="2"/>
  <c r="G42" i="2"/>
  <c r="F42" i="2"/>
  <c r="H42" i="2"/>
  <c r="E42" i="2"/>
  <c r="K42" i="2"/>
  <c r="I42" i="2"/>
  <c r="H116" i="2"/>
  <c r="I116" i="2"/>
  <c r="G116" i="2"/>
  <c r="F116" i="2"/>
  <c r="K116" i="2"/>
  <c r="E116" i="2"/>
  <c r="G18" i="2"/>
  <c r="E18" i="2"/>
  <c r="F18" i="2"/>
  <c r="H18" i="2"/>
  <c r="I18" i="2"/>
  <c r="K18" i="2"/>
  <c r="O64" i="2"/>
  <c r="G34" i="2"/>
  <c r="H34" i="2"/>
  <c r="F34" i="2"/>
  <c r="E34" i="2"/>
  <c r="K34" i="2"/>
  <c r="I34" i="2"/>
  <c r="H105" i="2"/>
  <c r="G105" i="2"/>
  <c r="F105" i="2"/>
  <c r="E105" i="2"/>
  <c r="I105" i="2"/>
  <c r="K105" i="2"/>
  <c r="G10" i="2"/>
  <c r="E10" i="2"/>
  <c r="K10" i="2"/>
  <c r="H10" i="2"/>
  <c r="F10" i="2"/>
  <c r="I10" i="2"/>
  <c r="E80" i="2"/>
  <c r="H80" i="2"/>
  <c r="I80" i="2"/>
  <c r="G80" i="2"/>
  <c r="K80" i="2"/>
  <c r="F80" i="2"/>
  <c r="G48" i="2"/>
  <c r="I48" i="2"/>
  <c r="K48" i="2"/>
  <c r="F48" i="2"/>
  <c r="E48" i="2"/>
  <c r="H48" i="2"/>
  <c r="I109" i="2"/>
  <c r="G109" i="2"/>
  <c r="F109" i="2"/>
  <c r="K109" i="2"/>
  <c r="E109" i="2"/>
  <c r="H109" i="2"/>
  <c r="K145" i="2"/>
  <c r="E145" i="2"/>
  <c r="G145" i="2"/>
  <c r="F145" i="2"/>
  <c r="H145" i="2"/>
  <c r="I145" i="2"/>
  <c r="G16" i="2"/>
  <c r="K16" i="2"/>
  <c r="F16" i="2"/>
  <c r="E16" i="2"/>
  <c r="I16" i="2"/>
  <c r="H16" i="2"/>
  <c r="G61" i="2"/>
  <c r="I61" i="2"/>
  <c r="K61" i="2"/>
  <c r="H61" i="2"/>
  <c r="F61" i="2"/>
  <c r="E61" i="2"/>
  <c r="H110" i="2"/>
  <c r="G110" i="2"/>
  <c r="K110" i="2"/>
  <c r="I110" i="2"/>
  <c r="F110" i="2"/>
  <c r="E110" i="2"/>
  <c r="G45" i="2"/>
  <c r="I45" i="2"/>
  <c r="K45" i="2"/>
  <c r="E45" i="2"/>
  <c r="H45" i="2"/>
  <c r="F45" i="2"/>
  <c r="G52" i="2"/>
  <c r="H52" i="2"/>
  <c r="F52" i="2"/>
  <c r="K52" i="2"/>
  <c r="I52" i="2"/>
  <c r="E52" i="2"/>
  <c r="G51" i="2"/>
  <c r="E51" i="2"/>
  <c r="K51" i="2"/>
  <c r="I51" i="2"/>
  <c r="H51" i="2"/>
  <c r="F51" i="2"/>
  <c r="E117" i="2"/>
  <c r="H117" i="2"/>
  <c r="I117" i="2"/>
  <c r="G117" i="2"/>
  <c r="K117" i="2"/>
  <c r="F117" i="2"/>
  <c r="G26" i="2"/>
  <c r="F26" i="2"/>
  <c r="E26" i="2"/>
  <c r="H26" i="2"/>
  <c r="I26" i="2"/>
  <c r="K26" i="2"/>
  <c r="K64" i="2"/>
  <c r="F64" i="2"/>
  <c r="E64" i="2"/>
  <c r="G64" i="2"/>
  <c r="I64" i="2"/>
  <c r="H64" i="2"/>
  <c r="H114" i="2"/>
  <c r="K114" i="2"/>
  <c r="F114" i="2"/>
  <c r="E114" i="2"/>
  <c r="G114" i="2"/>
  <c r="I114" i="2"/>
  <c r="K140" i="2"/>
  <c r="I140" i="2"/>
  <c r="E140" i="2"/>
  <c r="F140" i="2"/>
  <c r="G140" i="2"/>
  <c r="H140" i="2"/>
  <c r="H120" i="2"/>
  <c r="K120" i="2"/>
  <c r="F120" i="2"/>
  <c r="E120" i="2"/>
  <c r="I120" i="2"/>
  <c r="G120" i="2"/>
  <c r="K143" i="2"/>
  <c r="F143" i="2"/>
  <c r="H143" i="2"/>
  <c r="I143" i="2"/>
  <c r="G143" i="2"/>
  <c r="E143" i="2"/>
  <c r="N62" i="2"/>
  <c r="N37" i="2"/>
  <c r="G40" i="2"/>
  <c r="F40" i="2"/>
  <c r="I40" i="2"/>
  <c r="H40" i="2"/>
  <c r="E40" i="2"/>
  <c r="K40" i="2"/>
  <c r="G31" i="2"/>
  <c r="K31" i="2"/>
  <c r="I31" i="2"/>
  <c r="H31" i="2"/>
  <c r="F31" i="2"/>
  <c r="E31" i="2"/>
  <c r="K76" i="2"/>
  <c r="H76" i="2"/>
  <c r="G76" i="2"/>
  <c r="F76" i="2"/>
  <c r="I76" i="2"/>
  <c r="E76" i="2"/>
  <c r="I59" i="2"/>
  <c r="H59" i="2"/>
  <c r="F59" i="2"/>
  <c r="E59" i="2"/>
  <c r="G59" i="2"/>
  <c r="K59" i="2"/>
  <c r="H132" i="2"/>
  <c r="K132" i="2"/>
  <c r="I132" i="2"/>
  <c r="E132" i="2"/>
  <c r="F132" i="2"/>
  <c r="G132" i="2"/>
  <c r="H81" i="2"/>
  <c r="K81" i="2"/>
  <c r="G81" i="2"/>
  <c r="F81" i="2"/>
  <c r="E81" i="2"/>
  <c r="I81" i="2"/>
  <c r="K142" i="2"/>
  <c r="H142" i="2"/>
  <c r="G142" i="2"/>
  <c r="F142" i="2"/>
  <c r="I142" i="2"/>
  <c r="E142" i="2"/>
  <c r="G47" i="2"/>
  <c r="K47" i="2"/>
  <c r="H47" i="2"/>
  <c r="F47" i="2"/>
  <c r="I47" i="2"/>
  <c r="E47" i="2"/>
  <c r="H121" i="2"/>
  <c r="F121" i="2"/>
  <c r="E121" i="2"/>
  <c r="K121" i="2"/>
  <c r="I121" i="2"/>
  <c r="G121" i="2"/>
  <c r="G63" i="2"/>
  <c r="I63" i="2"/>
  <c r="K63" i="2"/>
  <c r="F63" i="2"/>
  <c r="E63" i="2"/>
  <c r="H63" i="2"/>
  <c r="K149" i="2"/>
  <c r="H149" i="2"/>
  <c r="G149" i="2"/>
  <c r="F149" i="2"/>
  <c r="I149" i="2"/>
  <c r="E149" i="2"/>
  <c r="K147" i="2"/>
  <c r="I147" i="2"/>
  <c r="E147" i="2"/>
  <c r="G147" i="2"/>
  <c r="H147" i="2"/>
  <c r="F147" i="2"/>
  <c r="K57" i="2"/>
  <c r="H57" i="2"/>
  <c r="I57" i="2"/>
  <c r="E57" i="2"/>
  <c r="G57" i="2"/>
  <c r="F57" i="2"/>
  <c r="K125" i="2"/>
  <c r="I125" i="2"/>
  <c r="E125" i="2"/>
  <c r="G125" i="2"/>
  <c r="H125" i="2"/>
  <c r="F125" i="2"/>
  <c r="G12" i="2"/>
  <c r="H12" i="2"/>
  <c r="F12" i="2"/>
  <c r="K12" i="2"/>
  <c r="I12" i="2"/>
  <c r="E12" i="2"/>
  <c r="G29" i="2"/>
  <c r="I29" i="2"/>
  <c r="K29" i="2"/>
  <c r="H29" i="2"/>
  <c r="E29" i="2"/>
  <c r="F29" i="2"/>
  <c r="I72" i="2"/>
  <c r="K72" i="2"/>
  <c r="F72" i="2"/>
  <c r="E72" i="2"/>
  <c r="H72" i="2"/>
  <c r="G72" i="2"/>
  <c r="K118" i="2"/>
  <c r="I118" i="2"/>
  <c r="E118" i="2"/>
  <c r="G118" i="2"/>
  <c r="F118" i="2"/>
  <c r="H118" i="2"/>
  <c r="G58" i="2"/>
  <c r="K58" i="2"/>
  <c r="F58" i="2"/>
  <c r="E58" i="2"/>
  <c r="I58" i="2"/>
  <c r="H58" i="2"/>
  <c r="H127" i="2"/>
  <c r="E127" i="2"/>
  <c r="I127" i="2"/>
  <c r="G127" i="2"/>
  <c r="F127" i="2"/>
  <c r="K127" i="2"/>
  <c r="G102" i="2"/>
  <c r="F102" i="2"/>
  <c r="E102" i="2"/>
  <c r="H102" i="2"/>
  <c r="K102" i="2"/>
  <c r="I102" i="2"/>
  <c r="K141" i="2"/>
  <c r="E141" i="2"/>
  <c r="H141" i="2"/>
  <c r="F141" i="2"/>
  <c r="I141" i="2"/>
  <c r="G141" i="2"/>
  <c r="H77" i="2"/>
  <c r="K77" i="2"/>
  <c r="I77" i="2"/>
  <c r="G77" i="2"/>
  <c r="F77" i="2"/>
  <c r="E77" i="2"/>
  <c r="H137" i="2"/>
  <c r="K137" i="2"/>
  <c r="I137" i="2"/>
  <c r="G137" i="2"/>
  <c r="F137" i="2"/>
  <c r="E137" i="2"/>
  <c r="I87" i="2"/>
  <c r="G87" i="2"/>
  <c r="F87" i="2"/>
  <c r="E87" i="2"/>
  <c r="H87" i="2"/>
  <c r="K87" i="2"/>
  <c r="K146" i="2"/>
  <c r="I146" i="2"/>
  <c r="E146" i="2"/>
  <c r="G146" i="2"/>
  <c r="H146" i="2"/>
  <c r="F146" i="2"/>
  <c r="G62" i="2"/>
  <c r="H62" i="2"/>
  <c r="I62" i="2"/>
  <c r="F62" i="2"/>
  <c r="E62" i="2"/>
  <c r="K62" i="2"/>
  <c r="H129" i="2"/>
  <c r="K129" i="2"/>
  <c r="F129" i="2"/>
  <c r="E129" i="2"/>
  <c r="I129" i="2"/>
  <c r="G129" i="2"/>
  <c r="F70" i="2"/>
  <c r="E70" i="2"/>
  <c r="H70" i="2"/>
  <c r="G70" i="2"/>
  <c r="I70" i="2"/>
  <c r="K70" i="2"/>
  <c r="G32" i="2"/>
  <c r="I32" i="2"/>
  <c r="E32" i="2"/>
  <c r="F32" i="2"/>
  <c r="H32" i="2"/>
  <c r="K32" i="2"/>
  <c r="G11" i="2"/>
  <c r="E11" i="2"/>
  <c r="H11" i="2"/>
  <c r="I11" i="2"/>
  <c r="K11" i="2"/>
  <c r="F11" i="2"/>
  <c r="K60" i="2"/>
  <c r="H60" i="2"/>
  <c r="I60" i="2"/>
  <c r="F60" i="2"/>
  <c r="E60" i="2"/>
  <c r="G60" i="2"/>
  <c r="I133" i="2"/>
  <c r="G133" i="2"/>
  <c r="F133" i="2"/>
  <c r="H133" i="2"/>
  <c r="K133" i="2"/>
  <c r="E133" i="2"/>
  <c r="G24" i="2"/>
  <c r="E24" i="2"/>
  <c r="I24" i="2"/>
  <c r="H24" i="2"/>
  <c r="K24" i="2"/>
  <c r="F24" i="2"/>
  <c r="G36" i="2"/>
  <c r="H36" i="2"/>
  <c r="K36" i="2"/>
  <c r="I36" i="2"/>
  <c r="F36" i="2"/>
  <c r="E36" i="2"/>
  <c r="H78" i="2"/>
  <c r="G78" i="2"/>
  <c r="F78" i="2"/>
  <c r="I78" i="2"/>
  <c r="K78" i="2"/>
  <c r="E78" i="2"/>
  <c r="K122" i="2"/>
  <c r="I122" i="2"/>
  <c r="G122" i="2"/>
  <c r="H122" i="2"/>
  <c r="E122" i="2"/>
  <c r="F122" i="2"/>
  <c r="G14" i="2"/>
  <c r="I14" i="2"/>
  <c r="K14" i="2"/>
  <c r="F14" i="2"/>
  <c r="E14" i="2"/>
  <c r="H14" i="2"/>
  <c r="G53" i="2"/>
  <c r="K53" i="2"/>
  <c r="F53" i="2"/>
  <c r="H53" i="2"/>
  <c r="E53" i="2"/>
  <c r="I53" i="2"/>
  <c r="G27" i="2"/>
  <c r="I27" i="2"/>
  <c r="H27" i="2"/>
  <c r="F27" i="2"/>
  <c r="E27" i="2"/>
  <c r="K27" i="2"/>
  <c r="K103" i="2"/>
  <c r="H103" i="2"/>
  <c r="I103" i="2"/>
  <c r="E103" i="2"/>
  <c r="G103" i="2"/>
  <c r="F103" i="2"/>
  <c r="O62" i="2"/>
  <c r="O37" i="2"/>
  <c r="K83" i="2"/>
  <c r="F83" i="2"/>
  <c r="E83" i="2"/>
  <c r="I83" i="2"/>
  <c r="H83" i="2"/>
  <c r="G83" i="2"/>
  <c r="K139" i="2"/>
  <c r="E139" i="2"/>
  <c r="I139" i="2"/>
  <c r="F139" i="2"/>
  <c r="H139" i="2"/>
  <c r="G139" i="2"/>
  <c r="I135" i="2"/>
  <c r="G135" i="2"/>
  <c r="H135" i="2"/>
  <c r="F135" i="2"/>
  <c r="K135" i="2"/>
  <c r="E135" i="2"/>
  <c r="G23" i="2"/>
  <c r="K23" i="2"/>
  <c r="H23" i="2"/>
  <c r="F23" i="2"/>
  <c r="E23" i="2"/>
  <c r="I23" i="2"/>
  <c r="K82" i="2"/>
  <c r="I82" i="2"/>
  <c r="H82" i="2"/>
  <c r="F82" i="2"/>
  <c r="E82" i="2"/>
  <c r="G82" i="2"/>
  <c r="K95" i="2"/>
  <c r="G95" i="2"/>
  <c r="F95" i="2"/>
  <c r="E95" i="2"/>
  <c r="H95" i="2"/>
  <c r="I95" i="2"/>
  <c r="K150" i="2"/>
  <c r="H150" i="2"/>
  <c r="G150" i="2"/>
  <c r="I150" i="2"/>
  <c r="E150" i="2"/>
  <c r="F150" i="2"/>
  <c r="I68" i="2"/>
  <c r="H68" i="2"/>
  <c r="G68" i="2"/>
  <c r="K68" i="2"/>
  <c r="F68" i="2"/>
  <c r="E68" i="2"/>
  <c r="G17" i="2"/>
  <c r="H17" i="2"/>
  <c r="I17" i="2"/>
  <c r="E17" i="2"/>
  <c r="K17" i="2"/>
  <c r="F17" i="2"/>
  <c r="H85" i="2"/>
  <c r="I85" i="2"/>
  <c r="K85" i="2"/>
  <c r="G85" i="2"/>
  <c r="F85" i="2"/>
  <c r="E85" i="2"/>
  <c r="G22" i="2"/>
  <c r="I22" i="2"/>
  <c r="K22" i="2"/>
  <c r="E22" i="2"/>
  <c r="H22" i="2"/>
  <c r="F22" i="2"/>
  <c r="G66" i="2"/>
  <c r="K66" i="2"/>
  <c r="I66" i="2"/>
  <c r="F66" i="2"/>
  <c r="E66" i="2"/>
  <c r="H66" i="2"/>
  <c r="K138" i="2"/>
  <c r="F138" i="2"/>
  <c r="H138" i="2"/>
  <c r="E138" i="2"/>
  <c r="I138" i="2"/>
  <c r="G138" i="2"/>
  <c r="K54" i="2"/>
  <c r="G54" i="2"/>
  <c r="F54" i="2"/>
  <c r="E54" i="2"/>
  <c r="I54" i="2"/>
  <c r="H54" i="2"/>
  <c r="G43" i="2"/>
  <c r="K43" i="2"/>
  <c r="F43" i="2"/>
  <c r="I43" i="2"/>
  <c r="H43" i="2"/>
  <c r="E43" i="2"/>
  <c r="I90" i="2"/>
  <c r="K90" i="2"/>
  <c r="H90" i="2"/>
  <c r="G90" i="2"/>
  <c r="F90" i="2"/>
  <c r="E90" i="2"/>
  <c r="I126" i="2"/>
  <c r="G126" i="2"/>
  <c r="F126" i="2"/>
  <c r="H126" i="2"/>
  <c r="K126" i="2"/>
  <c r="E126" i="2"/>
  <c r="K148" i="2"/>
  <c r="E148" i="2"/>
  <c r="I148" i="2"/>
  <c r="F148" i="2"/>
  <c r="H148" i="2"/>
  <c r="G148" i="2"/>
  <c r="H99" i="2"/>
  <c r="F99" i="2"/>
  <c r="E99" i="2"/>
  <c r="K99" i="2"/>
  <c r="I99" i="2"/>
  <c r="G99" i="2"/>
  <c r="H124" i="2"/>
  <c r="E124" i="2"/>
  <c r="I124" i="2"/>
  <c r="G124" i="2"/>
  <c r="K124" i="2"/>
  <c r="F124" i="2"/>
  <c r="H113" i="2"/>
  <c r="K113" i="2"/>
  <c r="I113" i="2"/>
  <c r="G113" i="2"/>
  <c r="F113" i="2"/>
  <c r="E113" i="2"/>
  <c r="H111" i="2"/>
  <c r="K111" i="2"/>
  <c r="I111" i="2"/>
  <c r="G111" i="2"/>
  <c r="F111" i="2"/>
  <c r="E111" i="2"/>
  <c r="G35" i="2"/>
  <c r="E35" i="2"/>
  <c r="K35" i="2"/>
  <c r="I35" i="2"/>
  <c r="F35" i="2"/>
  <c r="H35" i="2"/>
  <c r="H107" i="2"/>
  <c r="K107" i="2"/>
  <c r="F107" i="2"/>
  <c r="E107" i="2"/>
  <c r="I107" i="2"/>
  <c r="G107" i="2"/>
  <c r="G38" i="2"/>
  <c r="K38" i="2"/>
  <c r="I38" i="2"/>
  <c r="E38" i="2"/>
  <c r="F38" i="2"/>
  <c r="H38" i="2"/>
  <c r="G13" i="2"/>
  <c r="K13" i="2"/>
  <c r="I13" i="2"/>
  <c r="H13" i="2"/>
  <c r="E13" i="2"/>
  <c r="F13" i="2"/>
  <c r="F88" i="2"/>
  <c r="E88" i="2"/>
  <c r="H88" i="2"/>
  <c r="G88" i="2"/>
  <c r="K88" i="2"/>
  <c r="I88" i="2"/>
  <c r="K56" i="2"/>
  <c r="I56" i="2"/>
  <c r="H56" i="2"/>
  <c r="G56" i="2"/>
  <c r="F56" i="2"/>
  <c r="E56" i="2"/>
  <c r="H112" i="2"/>
  <c r="E112" i="2"/>
  <c r="I112" i="2"/>
  <c r="G112" i="2"/>
  <c r="F112" i="2"/>
  <c r="K112" i="2"/>
  <c r="G15" i="2"/>
  <c r="K15" i="2"/>
  <c r="F15" i="2"/>
  <c r="I15" i="2"/>
  <c r="E15" i="2"/>
  <c r="H15" i="2"/>
  <c r="K91" i="2"/>
  <c r="H91" i="2"/>
  <c r="F91" i="2"/>
  <c r="E91" i="2"/>
  <c r="I91" i="2"/>
  <c r="G91" i="2"/>
  <c r="E86" i="2"/>
  <c r="I86" i="2"/>
  <c r="K86" i="2"/>
  <c r="F86" i="2"/>
  <c r="H86" i="2"/>
  <c r="G86" i="2"/>
  <c r="I89" i="2"/>
  <c r="F89" i="2"/>
  <c r="H89" i="2"/>
  <c r="E89" i="2"/>
  <c r="G89" i="2"/>
  <c r="K89" i="2"/>
  <c r="G37" i="2"/>
  <c r="I37" i="2"/>
  <c r="K37" i="2"/>
  <c r="H37" i="2"/>
  <c r="F37" i="2"/>
  <c r="E37" i="2"/>
  <c r="G25" i="2"/>
  <c r="E25" i="2"/>
  <c r="F25" i="2"/>
  <c r="I25" i="2"/>
  <c r="K25" i="2"/>
  <c r="H25" i="2"/>
  <c r="H71" i="2"/>
  <c r="I71" i="2"/>
  <c r="K71" i="2"/>
  <c r="G71" i="2"/>
  <c r="F71" i="2"/>
  <c r="E71" i="2"/>
  <c r="G28" i="2"/>
  <c r="K28" i="2"/>
  <c r="I28" i="2"/>
  <c r="H28" i="2"/>
  <c r="F28" i="2"/>
  <c r="E28" i="2"/>
  <c r="G46" i="2"/>
  <c r="I46" i="2"/>
  <c r="K46" i="2"/>
  <c r="E46" i="2"/>
  <c r="F46" i="2"/>
  <c r="H46" i="2"/>
  <c r="I94" i="2"/>
  <c r="H94" i="2"/>
  <c r="F94" i="2"/>
  <c r="E94" i="2"/>
  <c r="G94" i="2"/>
  <c r="K94" i="2"/>
  <c r="E130" i="2"/>
  <c r="I130" i="2"/>
  <c r="H130" i="2"/>
  <c r="K130" i="2"/>
  <c r="G130" i="2"/>
  <c r="F130" i="2"/>
  <c r="H123" i="2"/>
  <c r="E123" i="2"/>
  <c r="I123" i="2"/>
  <c r="G123" i="2"/>
  <c r="K123" i="2"/>
  <c r="F123" i="2"/>
  <c r="H115" i="2"/>
  <c r="I115" i="2"/>
  <c r="G115" i="2"/>
  <c r="F115" i="2"/>
  <c r="K115" i="2"/>
  <c r="E115" i="2"/>
  <c r="H73" i="2"/>
  <c r="I73" i="2"/>
  <c r="G73" i="2"/>
  <c r="K73" i="2"/>
  <c r="F73" i="2"/>
  <c r="E73" i="2"/>
  <c r="G21" i="2"/>
  <c r="H21" i="2"/>
  <c r="K21" i="2"/>
  <c r="I21" i="2"/>
  <c r="F21" i="2"/>
  <c r="E21" i="2"/>
  <c r="I67" i="2"/>
  <c r="G67" i="2"/>
  <c r="F67" i="2"/>
  <c r="K67" i="2"/>
  <c r="H67" i="2"/>
  <c r="E67" i="2"/>
  <c r="G20" i="2"/>
  <c r="I20" i="2"/>
  <c r="H20" i="2"/>
  <c r="F20" i="2"/>
  <c r="K20" i="2"/>
  <c r="E20" i="2"/>
  <c r="H93" i="2"/>
  <c r="K93" i="2"/>
  <c r="I93" i="2"/>
  <c r="E93" i="2"/>
  <c r="G93" i="2"/>
  <c r="F93" i="2"/>
  <c r="H136" i="2"/>
  <c r="I136" i="2"/>
  <c r="G136" i="2"/>
  <c r="F136" i="2"/>
  <c r="K136" i="2"/>
  <c r="E136" i="2"/>
  <c r="H128" i="2"/>
  <c r="K128" i="2"/>
  <c r="I128" i="2"/>
  <c r="G128" i="2"/>
  <c r="F128" i="2"/>
  <c r="E128" i="2"/>
  <c r="G19" i="2"/>
  <c r="H19" i="2"/>
  <c r="E19" i="2"/>
  <c r="F19" i="2"/>
  <c r="K19" i="2"/>
  <c r="I19" i="2"/>
  <c r="H96" i="2"/>
  <c r="I96" i="2"/>
  <c r="G96" i="2"/>
  <c r="F96" i="2"/>
  <c r="E96" i="2"/>
  <c r="K96" i="2"/>
  <c r="H97" i="2"/>
  <c r="G97" i="2"/>
  <c r="F97" i="2"/>
  <c r="E97" i="2"/>
  <c r="K97" i="2"/>
  <c r="I97" i="2"/>
  <c r="G39" i="2"/>
  <c r="K39" i="2"/>
  <c r="E39" i="2"/>
  <c r="F39" i="2"/>
  <c r="H39" i="2"/>
  <c r="I39" i="2"/>
  <c r="K75" i="2"/>
  <c r="G75" i="2"/>
  <c r="E75" i="2"/>
  <c r="F75" i="2"/>
  <c r="H75" i="2"/>
  <c r="I75" i="2"/>
  <c r="G65" i="2"/>
  <c r="K65" i="2"/>
  <c r="H65" i="2"/>
  <c r="I65" i="2"/>
  <c r="F65" i="2"/>
  <c r="E65" i="2"/>
  <c r="G49" i="2"/>
  <c r="E49" i="2"/>
  <c r="K49" i="2"/>
  <c r="H49" i="2"/>
  <c r="I49" i="2"/>
  <c r="F49" i="2"/>
  <c r="H101" i="2"/>
  <c r="G101" i="2"/>
  <c r="F101" i="2"/>
  <c r="K101" i="2"/>
  <c r="I101" i="2"/>
  <c r="E101" i="2"/>
  <c r="G134" i="2"/>
  <c r="F134" i="2"/>
  <c r="E134" i="2"/>
  <c r="K134" i="2"/>
  <c r="I134" i="2"/>
  <c r="H134" i="2"/>
  <c r="N66" i="2" l="1"/>
  <c r="P66" i="2"/>
  <c r="O66"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<sst xmlns="http://schemas.openxmlformats.org/spreadsheetml/2006/main" count="892" uniqueCount="440">
  <si>
    <r>
      <t xml:space="preserve">                                                                                                                                              </t>
    </r>
    <r>
      <rPr>
        <b/>
        <sz val="10.4"/>
        <color theme="1"/>
        <rFont val="Aptos Narrow"/>
        <family val="2"/>
        <scheme val="minor"/>
      </rPr>
      <t xml:space="preserve">                     GUÍA DE USO</t>
    </r>
    <r>
      <rPr>
        <sz val="10.4"/>
        <color theme="1"/>
        <rFont val="Aptos Narrow"/>
        <family val="2"/>
        <scheme val="minor"/>
      </rPr>
      <t xml:space="preserve">
Esta herramienta ayuda a las entidades locales a identificar diversas medidas preventivas, de respuesta inmediata y de comunicación para abordar episodios de altas temperaturas, permitiéndoles seleccionar las opciones más adecuadas para su municipio. Cuenta con una base de datos de medidas extraídas de diferentes ejemplos, planes y estrategias. Las medidas están clasificadas según varios criterios para facilitar a los usuarios la selección de aquellas que son relevantes para las características de su municipio. Las categorías incluyen:
        • </t>
    </r>
    <r>
      <rPr>
        <b/>
        <sz val="10.4"/>
        <color theme="1"/>
        <rFont val="Aptos Narrow"/>
        <family val="2"/>
        <scheme val="minor"/>
      </rPr>
      <t>Tipo de medida</t>
    </r>
    <r>
      <rPr>
        <sz val="10.4"/>
        <color theme="1"/>
        <rFont val="Aptos Narrow"/>
        <family val="2"/>
        <scheme val="minor"/>
      </rPr>
      <t xml:space="preserve">: Prevención, de respuesta inmediata, comunicación y sensibilización.
        • </t>
    </r>
    <r>
      <rPr>
        <b/>
        <sz val="10.4"/>
        <color theme="1"/>
        <rFont val="Aptos Narrow"/>
        <family val="2"/>
        <scheme val="minor"/>
      </rPr>
      <t>Esfuerzo presupuestario</t>
    </r>
    <r>
      <rPr>
        <sz val="10.4"/>
        <color theme="1"/>
        <rFont val="Aptos Narrow"/>
        <family val="2"/>
        <scheme val="minor"/>
      </rPr>
      <t xml:space="preserve">:  Bajo (€), Medio (€€), Alto (€€€).
        • </t>
    </r>
    <r>
      <rPr>
        <b/>
        <sz val="10.4"/>
        <color theme="1"/>
        <rFont val="Aptos Narrow"/>
        <family val="2"/>
        <scheme val="minor"/>
      </rPr>
      <t>Nivel de riesgo de altas temperaturas para activar la medida</t>
    </r>
    <r>
      <rPr>
        <sz val="10.4"/>
        <color theme="1"/>
        <rFont val="Aptos Narrow"/>
        <family val="2"/>
        <scheme val="minor"/>
      </rPr>
      <t>:</t>
    </r>
    <r>
      <rPr>
        <b/>
        <sz val="12"/>
        <color rgb="FF00B050"/>
        <rFont val="Aptos Narrow"/>
        <family val="2"/>
        <scheme val="minor"/>
      </rPr>
      <t xml:space="preserve"> ■</t>
    </r>
    <r>
      <rPr>
        <sz val="10.4"/>
        <color theme="1"/>
        <rFont val="Aptos Narrow"/>
        <family val="2"/>
        <scheme val="minor"/>
      </rPr>
      <t xml:space="preserve"> Sin riesgo (0), </t>
    </r>
    <r>
      <rPr>
        <b/>
        <sz val="12"/>
        <color rgb="FFFFFF00"/>
        <rFont val="Aptos Narrow"/>
        <family val="2"/>
        <scheme val="minor"/>
      </rPr>
      <t>■</t>
    </r>
    <r>
      <rPr>
        <sz val="10.4"/>
        <color theme="1"/>
        <rFont val="Aptos Narrow"/>
        <family val="2"/>
        <scheme val="minor"/>
      </rPr>
      <t xml:space="preserve"> Riesgo bajo (1), </t>
    </r>
    <r>
      <rPr>
        <b/>
        <sz val="12"/>
        <color rgb="FFFFC000"/>
        <rFont val="Aptos Narrow"/>
        <family val="2"/>
        <scheme val="minor"/>
      </rPr>
      <t>■</t>
    </r>
    <r>
      <rPr>
        <sz val="10.4"/>
        <color theme="1"/>
        <rFont val="Aptos Narrow"/>
        <family val="2"/>
        <scheme val="minor"/>
      </rPr>
      <t xml:space="preserve"> Riesgo Medio (2), </t>
    </r>
    <r>
      <rPr>
        <b/>
        <sz val="12"/>
        <color rgb="FFFF0000"/>
        <rFont val="Aptos Narrow"/>
        <family val="2"/>
        <scheme val="minor"/>
      </rPr>
      <t>■</t>
    </r>
    <r>
      <rPr>
        <sz val="10.4"/>
        <color theme="1"/>
        <rFont val="Aptos Narrow"/>
        <family val="2"/>
        <scheme val="minor"/>
      </rPr>
      <t xml:space="preserve"> Riesgo alto (3).
        • </t>
    </r>
    <r>
      <rPr>
        <b/>
        <sz val="10.4"/>
        <color theme="1"/>
        <rFont val="Aptos Narrow"/>
        <family val="2"/>
        <scheme val="minor"/>
      </rPr>
      <t>Sectores aplicables</t>
    </r>
    <r>
      <rPr>
        <sz val="10.4"/>
        <color theme="1"/>
        <rFont val="Aptos Narrow"/>
        <family val="2"/>
        <scheme val="minor"/>
      </rPr>
      <t xml:space="preserve">: Edificios públicos, planificación urbana, riesgos laborales, educación, servicios sociales, servicios de emergencia y policía, parques
           y espacios verdes, transporte, coordinación.
Cada medida se clasifica en una escala de 0 a 3 según ocho criterios que evalúan su potencial para mitigar los efectos de las altas temperaturas. Estos criterios han sido evaluados por un equipo de expertas y expertos y abarcan aspectos medioambientales (potencial de refrigeración urbana; aumento del espacio verde/azul), sociales (cobertura de grupos vulnerables; población alcanzada), económicos (coste de ejecución; disponibilidad de financiación) y de gobernanza (viabilidad, tiempo de aplicación). La herramienta calcula una puntuación para cada medida, basada en una suma ponderada de estos ocho criterios. Por defecto, a cada criterio se le da el mismo peso, pero las personas usuarias pueden ajustar la ponderación de los criterios específicos según sus preferencias en el Módulo 2. Si no se establecen preferencias, la herramienta mostrará las medidas clasificadas por prioridad según la ponderación igual (Módulo 3).
</t>
    </r>
    <r>
      <rPr>
        <b/>
        <sz val="10.4"/>
        <color theme="1"/>
        <rFont val="Aptos Narrow"/>
        <family val="2"/>
        <scheme val="minor"/>
      </rPr>
      <t>Pasos para usar la herramienta:</t>
    </r>
    <r>
      <rPr>
        <sz val="10.4"/>
        <color theme="1"/>
        <rFont val="Aptos Narrow"/>
        <family val="2"/>
        <scheme val="minor"/>
      </rPr>
      <t xml:space="preserve">
        1.</t>
    </r>
    <r>
      <rPr>
        <b/>
        <sz val="10.4"/>
        <color theme="1"/>
        <rFont val="Aptos Narrow"/>
        <family val="2"/>
        <scheme val="minor"/>
      </rPr>
      <t xml:space="preserve"> Módulo 1 (Perfil municipio)</t>
    </r>
    <r>
      <rPr>
        <sz val="10.4"/>
        <color theme="1"/>
        <rFont val="Aptos Narrow"/>
        <family val="2"/>
        <scheme val="minor"/>
      </rPr>
      <t>: Introduzca los datos de su municipio. Esto determinará qué medidas son relevantes para las características del  municipio.
        2.</t>
    </r>
    <r>
      <rPr>
        <b/>
        <sz val="10.4"/>
        <color theme="1"/>
        <rFont val="Aptos Narrow"/>
        <family val="2"/>
        <scheme val="minor"/>
      </rPr>
      <t xml:space="preserve"> Módulo 2 (Pesos)</t>
    </r>
    <r>
      <rPr>
        <sz val="10.4"/>
        <color theme="1"/>
        <rFont val="Aptos Narrow"/>
        <family val="2"/>
        <scheme val="minor"/>
      </rPr>
      <t>: Utilice este módulo solo si desea ajustar la importancia de ciertos criterios. 
        3.</t>
    </r>
    <r>
      <rPr>
        <b/>
        <sz val="10.4"/>
        <color theme="1"/>
        <rFont val="Aptos Narrow"/>
        <family val="2"/>
        <scheme val="minor"/>
      </rPr>
      <t xml:space="preserve"> Módulo 3 (Resultados)</t>
    </r>
    <r>
      <rPr>
        <sz val="10.4"/>
        <color theme="1"/>
        <rFont val="Aptos Narrow"/>
        <family val="2"/>
        <scheme val="minor"/>
      </rPr>
      <t>: Vea las medidas relevantes para su municipio, clasificadas por su puntuación (la suma ponderada de los criterios evaluados).
        4.</t>
    </r>
    <r>
      <rPr>
        <b/>
        <sz val="10.4"/>
        <color theme="1"/>
        <rFont val="Aptos Narrow"/>
        <family val="2"/>
        <scheme val="minor"/>
      </rPr>
      <t xml:space="preserve"> Módulo 4 (Catálogo)</t>
    </r>
    <r>
      <rPr>
        <sz val="10.4"/>
        <color theme="1"/>
        <rFont val="Aptos Narrow"/>
        <family val="2"/>
        <scheme val="minor"/>
      </rPr>
      <t>: Este módulo funciona independientemente de los demás y no afecta el proceso de selección. Sirve como catálogo de todas 
             las medidas de la base de datos. Utilice los filtros en la parte superior para refinar su búsqueda. Por ejemplo, si trabaja en el área de 
             turismo, puede seleccionar «turismo» para mostrar solo las medidas aplicables al turismo. También puede filtrar por categoría de presupuesto (€) para    
             mostrar  opciones de bajo costo. Para restablecer los filtros, haga clic en el símbolo del embudo con una cruz para anular la selección de
             opciones anteriores.</t>
    </r>
  </si>
  <si>
    <t>Herramienta para la identificación y 
selección de medidas a altas temperaturas</t>
  </si>
  <si>
    <t>1.</t>
  </si>
  <si>
    <r>
      <rPr>
        <b/>
        <sz val="18"/>
        <color theme="0"/>
        <rFont val="Aptos Narrow"/>
        <family val="2"/>
        <scheme val="minor"/>
      </rPr>
      <t>Rellene los datos del municipio</t>
    </r>
    <r>
      <rPr>
        <b/>
        <sz val="11"/>
        <color theme="0"/>
        <rFont val="Aptos Narrow"/>
        <family val="2"/>
        <scheme val="minor"/>
      </rPr>
      <t xml:space="preserve">
Nombre, población e infraestructuras</t>
    </r>
  </si>
  <si>
    <t>2.</t>
  </si>
  <si>
    <r>
      <rPr>
        <b/>
        <sz val="18"/>
        <color theme="0"/>
        <rFont val="Aptos Narrow"/>
        <family val="2"/>
        <scheme val="minor"/>
      </rPr>
      <t>(Opcional) Ajuste las preferencias</t>
    </r>
    <r>
      <rPr>
        <b/>
        <sz val="11"/>
        <color theme="0"/>
        <rFont val="Aptos Narrow"/>
        <family val="2"/>
        <scheme val="minor"/>
      </rPr>
      <t xml:space="preserve">
Ponderación de criterios según prioridades</t>
    </r>
  </si>
  <si>
    <t>3.</t>
  </si>
  <si>
    <r>
      <rPr>
        <b/>
        <sz val="18"/>
        <color theme="0"/>
        <rFont val="Aptos Narrow"/>
        <family val="2"/>
        <scheme val="minor"/>
      </rPr>
      <t>Consulte las medidas recomendadas</t>
    </r>
    <r>
      <rPr>
        <sz val="11"/>
        <color theme="0"/>
        <rFont val="Aptos Narrow"/>
        <family val="2"/>
        <scheme val="minor"/>
      </rPr>
      <t xml:space="preserve">
Lista ordenada de mayor a menor prioridad</t>
    </r>
  </si>
  <si>
    <t>4.</t>
  </si>
  <si>
    <r>
      <rPr>
        <b/>
        <sz val="18"/>
        <color theme="0"/>
        <rFont val="Aptos Narrow"/>
        <family val="2"/>
        <scheme val="minor"/>
      </rPr>
      <t>Catálogo de medidas y acciones de prevención</t>
    </r>
    <r>
      <rPr>
        <sz val="11"/>
        <color theme="0"/>
        <rFont val="Aptos Narrow"/>
        <family val="2"/>
        <scheme val="minor"/>
      </rPr>
      <t xml:space="preserve">
Coste, presupuesto, nivel de riesgo y ámbito de aplicación</t>
    </r>
  </si>
  <si>
    <t>Esta herramienta ha sido diseñada para aplicar la Guía para la elaboración de políticas municipales y planes locales de actuación ante altas temperaturas de la Red Española de Ciudades por el Clima, con el apoyo de EuroVértice, que ha enriquecido la herramienta basándose en los resultados obtenidos del proyecto Euro-MED HEATSAFE.</t>
  </si>
  <si>
    <t>Perfil del municipio</t>
  </si>
  <si>
    <t xml:space="preserve"> Complete únicamente las celdas habilitadas</t>
  </si>
  <si>
    <t>Datos básicos</t>
  </si>
  <si>
    <t>Valor</t>
  </si>
  <si>
    <t>Instrucciones</t>
  </si>
  <si>
    <t>Nombre del municipio</t>
  </si>
  <si>
    <t>MURCIA</t>
  </si>
  <si>
    <t>• Seleccione "Si" si hay al menos una instalación en el municipio.
• Si no está seguro, puede dejar la celda en blanco.</t>
  </si>
  <si>
    <t>País / Región</t>
  </si>
  <si>
    <t>Número de habitantes</t>
  </si>
  <si>
    <t>Categoría de tamaño</t>
  </si>
  <si>
    <t>Infraestructuras / Facilidades</t>
  </si>
  <si>
    <t>Instalaciones</t>
  </si>
  <si>
    <t>Respuesta (Si/No)</t>
  </si>
  <si>
    <t>Centros de salud o asistencia social</t>
  </si>
  <si>
    <t>No</t>
  </si>
  <si>
    <t>Edificios públicos</t>
  </si>
  <si>
    <t>Piscinas públicas</t>
  </si>
  <si>
    <t>Playas</t>
  </si>
  <si>
    <t>Ríos o lagos</t>
  </si>
  <si>
    <t>Transporte público</t>
  </si>
  <si>
    <t>Escuelas / Centros educativos</t>
  </si>
  <si>
    <t xml:space="preserve">           Herramienta para la identificación y
              selección de medidas a altas temperaturas</t>
  </si>
  <si>
    <t>Ponderación de los criterios (opcional)</t>
  </si>
  <si>
    <t>Cada medida ha sido evaluada por un equipo de expertos en base a 8 criterios. Si todos los criterios son igualmente importantes para usted, no se necesitan cambios.</t>
  </si>
  <si>
    <t>Puede ajustar el peso de cada criterio aplicando un multiplicador de -3 (menor prioridad) a +3 (mayor prioridad).</t>
  </si>
  <si>
    <t>La herramienta normalizará automáticamente los pesos para una evaluación equilibrada.</t>
  </si>
  <si>
    <t>Ajuste adicional por medida (avanzado)</t>
  </si>
  <si>
    <t>Complete esta sección sólo si claramente desea aumentar o disminuir una medida específica</t>
  </si>
  <si>
    <t>Tipología de criterio</t>
  </si>
  <si>
    <t>Criterio</t>
  </si>
  <si>
    <t>Peso</t>
  </si>
  <si>
    <t>Multiplicador</t>
  </si>
  <si>
    <t>Peso sin normalizar</t>
  </si>
  <si>
    <t>Peso normalizado</t>
  </si>
  <si>
    <t>Peso (%)</t>
  </si>
  <si>
    <t>Medioambiental</t>
  </si>
  <si>
    <r>
      <rPr>
        <b/>
        <sz val="12"/>
        <color theme="1"/>
        <rFont val="Aptos Narrow"/>
        <family val="2"/>
        <scheme val="minor"/>
      </rPr>
      <t>1. Potencial de refrigeración urbana</t>
    </r>
    <r>
      <rPr>
        <sz val="11"/>
        <color theme="1"/>
        <rFont val="Aptos Narrow"/>
        <family val="2"/>
        <scheme val="minor"/>
      </rPr>
      <t xml:space="preserve">
</t>
    </r>
    <r>
      <rPr>
        <i/>
        <sz val="11"/>
        <color theme="1"/>
        <rFont val="Aptos Narrow"/>
        <family val="2"/>
        <scheme val="minor"/>
      </rPr>
      <t>Al aumentar el peso, el foco se centra en la reducción de las temperaturas urbanas. Esto prioriza acciones que aborden directamente la reducción del calor y mejora del confort térmico de las áreas urbanas.</t>
    </r>
  </si>
  <si>
    <r>
      <t xml:space="preserve">2. Aumento del espacio verde/azul
</t>
    </r>
    <r>
      <rPr>
        <i/>
        <sz val="11"/>
        <color theme="1"/>
        <rFont val="Aptos Narrow"/>
        <family val="2"/>
        <scheme val="minor"/>
      </rPr>
      <t>Dar más peso a este criterio enfatiza la creación o expansión de espacios verdes y azules, como parques, árboles y fuentes de agua.</t>
    </r>
  </si>
  <si>
    <t>Social</t>
  </si>
  <si>
    <r>
      <rPr>
        <b/>
        <sz val="12"/>
        <color theme="1"/>
        <rFont val="Aptos Narrow"/>
        <family val="2"/>
        <scheme val="minor"/>
      </rPr>
      <t>3. Cobertura de grupos vulnerables</t>
    </r>
    <r>
      <rPr>
        <sz val="11"/>
        <color theme="1"/>
        <rFont val="Aptos Narrow"/>
        <family val="2"/>
        <scheme val="minor"/>
      </rPr>
      <t xml:space="preserve">
</t>
    </r>
    <r>
      <rPr>
        <i/>
        <sz val="11"/>
        <color theme="1"/>
        <rFont val="Aptos Narrow"/>
        <family val="2"/>
        <scheme val="minor"/>
      </rPr>
      <t>Si a este criterio se le da un mayor peso, el enfoque cambia a medidas que proporcionan beneficios directos a los grupos vulnerables, como los ancianos, los niños y las poblaciones de bajos ingresos.</t>
    </r>
  </si>
  <si>
    <r>
      <rPr>
        <b/>
        <sz val="12"/>
        <color theme="1"/>
        <rFont val="Aptos Narrow"/>
        <family val="2"/>
        <scheme val="minor"/>
      </rPr>
      <t>4. Población alcanzada</t>
    </r>
    <r>
      <rPr>
        <sz val="11"/>
        <color theme="1"/>
        <rFont val="Aptos Narrow"/>
        <family val="2"/>
        <scheme val="minor"/>
      </rPr>
      <t xml:space="preserve">
</t>
    </r>
    <r>
      <rPr>
        <i/>
        <sz val="11"/>
        <color theme="1"/>
        <rFont val="Aptos Narrow"/>
        <family val="2"/>
        <scheme val="minor"/>
      </rPr>
      <t>Dar prioridad a este criterio aumenta la importancia de las acciones que tienen un impacto más amplio, beneficiando a una mayor parte de la población. Esto enfatiza la necesidad de medidas que brinden beneficios generalizados.</t>
    </r>
  </si>
  <si>
    <t>Económicos</t>
  </si>
  <si>
    <r>
      <rPr>
        <b/>
        <sz val="12"/>
        <color theme="1"/>
        <rFont val="Aptos Narrow"/>
        <family val="2"/>
        <scheme val="minor"/>
      </rPr>
      <t>5. Coste de ejecución</t>
    </r>
    <r>
      <rPr>
        <sz val="11"/>
        <color theme="1"/>
        <rFont val="Aptos Narrow"/>
        <family val="2"/>
        <scheme val="minor"/>
      </rPr>
      <t xml:space="preserve">
</t>
    </r>
    <r>
      <rPr>
        <i/>
        <sz val="11"/>
        <color theme="1"/>
        <rFont val="Aptos Narrow"/>
        <family val="2"/>
        <scheme val="minor"/>
      </rPr>
      <t>Un mayor peso en este criterio refleja un enfoque en minimizar los costes y garantizar que las medidas sean manejables financieramente.</t>
    </r>
  </si>
  <si>
    <r>
      <rPr>
        <b/>
        <sz val="12"/>
        <color theme="1"/>
        <rFont val="Aptos Narrow"/>
        <family val="2"/>
        <scheme val="minor"/>
      </rPr>
      <t>6. Disponibilidad de financiación</t>
    </r>
    <r>
      <rPr>
        <sz val="11"/>
        <color theme="1"/>
        <rFont val="Aptos Narrow"/>
        <family val="2"/>
        <scheme val="minor"/>
      </rPr>
      <t xml:space="preserve">
</t>
    </r>
    <r>
      <rPr>
        <i/>
        <sz val="11"/>
        <color theme="1"/>
        <rFont val="Aptos Narrow"/>
        <family val="2"/>
        <scheme val="minor"/>
      </rPr>
      <t>Esto pone de relieve la importancia de las medidas que tienen un acceso de alta probabilidad a fuentes de financiación, como los fondos locales, nacionales o de la UE.</t>
    </r>
  </si>
  <si>
    <t>Gobernanza</t>
  </si>
  <si>
    <r>
      <rPr>
        <b/>
        <sz val="12"/>
        <color theme="1"/>
        <rFont val="Aptos Narrow"/>
        <family val="2"/>
        <scheme val="minor"/>
      </rPr>
      <t>7. Viabilidad</t>
    </r>
    <r>
      <rPr>
        <sz val="11"/>
        <color theme="1"/>
        <rFont val="Aptos Narrow"/>
        <family val="2"/>
        <scheme val="minor"/>
      </rPr>
      <t xml:space="preserve">
</t>
    </r>
    <r>
      <rPr>
        <i/>
        <sz val="11"/>
        <color theme="1"/>
        <rFont val="Aptos Narrow"/>
        <family val="2"/>
        <scheme val="minor"/>
      </rPr>
      <t>Un mayor peso en la viabilidad prioriza las medidas que son más fáciles de implementar desde una perspectiva técnica, legal y administrativa.</t>
    </r>
  </si>
  <si>
    <r>
      <rPr>
        <b/>
        <sz val="12"/>
        <color theme="1"/>
        <rFont val="Aptos Narrow"/>
        <family val="2"/>
        <scheme val="minor"/>
      </rPr>
      <t>8. Tiempo para implementar</t>
    </r>
    <r>
      <rPr>
        <sz val="11"/>
        <color theme="1"/>
        <rFont val="Aptos Narrow"/>
        <family val="2"/>
        <scheme val="minor"/>
      </rPr>
      <t xml:space="preserve">
</t>
    </r>
    <r>
      <rPr>
        <i/>
        <sz val="11"/>
        <color theme="1"/>
        <rFont val="Aptos Narrow"/>
        <family val="2"/>
        <scheme val="minor"/>
      </rPr>
      <t>Esto favorece las medidas que se pueden implementar rápidamente y comenzar a entregar resultados en un marco de tiempo más corto, abordando necesidades urgentes.</t>
    </r>
  </si>
  <si>
    <t>Herramienta para la identificación y
selección de medidas a altas temperaturas</t>
  </si>
  <si>
    <t>Ordenadas de mayor a menor prioridad en base a criterios ambientales, sociales, económicos y de gobernanza</t>
  </si>
  <si>
    <t>Ranking</t>
  </si>
  <si>
    <t>Código</t>
  </si>
  <si>
    <t>Tipo</t>
  </si>
  <si>
    <t>Descripción</t>
  </si>
  <si>
    <t>Areas</t>
  </si>
  <si>
    <t>Coste</t>
  </si>
  <si>
    <t>Riesgo</t>
  </si>
  <si>
    <t>Puntuación</t>
  </si>
  <si>
    <t>Distribución por tipo</t>
  </si>
  <si>
    <t>Comunicación y sensibilización</t>
  </si>
  <si>
    <t>Prevención</t>
  </si>
  <si>
    <t>Respuesta inmediata</t>
  </si>
  <si>
    <t>Distribución por sector</t>
  </si>
  <si>
    <t>Edificios e instalaciones públicas</t>
  </si>
  <si>
    <t>Planificación urbana</t>
  </si>
  <si>
    <t>Cultura y deportes</t>
  </si>
  <si>
    <t>Turismo</t>
  </si>
  <si>
    <t>Riesgos laborales</t>
  </si>
  <si>
    <t>Educación</t>
  </si>
  <si>
    <t>Servicios sociales</t>
  </si>
  <si>
    <t>Servicios de emergencia y policía</t>
  </si>
  <si>
    <t>Parques y jardines 
(infraestructura urbana verde)</t>
  </si>
  <si>
    <t>Transporte</t>
  </si>
  <si>
    <t>Coordinación</t>
  </si>
  <si>
    <t>Impacto por criterio</t>
  </si>
  <si>
    <t xml:space="preserve"> Global</t>
  </si>
  <si>
    <t xml:space="preserve"> Top 20</t>
  </si>
  <si>
    <t xml:space="preserve"> Últimas 20</t>
  </si>
  <si>
    <t xml:space="preserve">  Global     |    Top 20    | Últimas 20</t>
  </si>
  <si>
    <t xml:space="preserve"> C1. Potencial de refrigeración urbana</t>
  </si>
  <si>
    <t xml:space="preserve"> C2. Aumento del espacio verde/azul</t>
  </si>
  <si>
    <t xml:space="preserve"> C3. Cobertura de grupos vulnerables</t>
  </si>
  <si>
    <t xml:space="preserve"> C4. Población alcanzada</t>
  </si>
  <si>
    <t xml:space="preserve"> C5. Coste de ejecución</t>
  </si>
  <si>
    <t xml:space="preserve"> C6. Disponibilidad de financiación</t>
  </si>
  <si>
    <t xml:space="preserve"> C7. Viabilidad</t>
  </si>
  <si>
    <t xml:space="preserve"> C8. Tiempo para implementar</t>
  </si>
  <si>
    <t xml:space="preserve">       Total</t>
  </si>
  <si>
    <t>Impacto por criterio principal</t>
  </si>
  <si>
    <t>Catálogo de medidas y acciones de prevención</t>
  </si>
  <si>
    <t>Utilice los filtros de la parte superior para refinar la búsqueda según los criterios deseados</t>
  </si>
  <si>
    <t>COD</t>
  </si>
  <si>
    <t>TIPO DE MEDIDA</t>
  </si>
  <si>
    <t>CRITERIO PRINCIPAL</t>
  </si>
  <si>
    <t>CRITERIO</t>
  </si>
  <si>
    <t>DESCRIPCIÓN</t>
  </si>
  <si>
    <t>EJEMPLOS</t>
  </si>
  <si>
    <t>€</t>
  </si>
  <si>
    <t>€€</t>
  </si>
  <si>
    <t>€€€</t>
  </si>
  <si>
    <t>No risk (0)</t>
  </si>
  <si>
    <t>Low risk (1)</t>
  </si>
  <si>
    <t>Medidaium risk (2)</t>
  </si>
  <si>
    <t>High risk (3)</t>
  </si>
  <si>
    <t>RI</t>
  </si>
  <si>
    <t>E</t>
  </si>
  <si>
    <t>S</t>
  </si>
  <si>
    <t>GO</t>
  </si>
  <si>
    <t>Nº Áreas</t>
  </si>
  <si>
    <t>Edificios</t>
  </si>
  <si>
    <t>Planific.</t>
  </si>
  <si>
    <t>Cultura</t>
  </si>
  <si>
    <t>Turism.</t>
  </si>
  <si>
    <t>Rieg.lab</t>
  </si>
  <si>
    <t>Educac.</t>
  </si>
  <si>
    <t>Emerg.</t>
  </si>
  <si>
    <t>Parques y jardines</t>
  </si>
  <si>
    <t>Parques</t>
  </si>
  <si>
    <t>Transp.</t>
  </si>
  <si>
    <t>Coordin.</t>
  </si>
  <si>
    <t>&lt;5.000</t>
  </si>
  <si>
    <t>5.001-20.000</t>
  </si>
  <si>
    <t>20.001-50.000</t>
  </si>
  <si>
    <t>50.001-100.000</t>
  </si>
  <si>
    <t>&gt;100.000</t>
  </si>
  <si>
    <t>Aplicación tamaño</t>
  </si>
  <si>
    <t>Edificios públicos2</t>
  </si>
  <si>
    <t>Ríos y lagos</t>
  </si>
  <si>
    <t>Escuelas / Centros de educación</t>
  </si>
  <si>
    <t>Total infraestructura</t>
  </si>
  <si>
    <t>C1_Refrigeración</t>
  </si>
  <si>
    <t>C2_Verde Azul</t>
  </si>
  <si>
    <t>C3_Vulnerables</t>
  </si>
  <si>
    <t>C4_Población</t>
  </si>
  <si>
    <t>C5_Coste</t>
  </si>
  <si>
    <t>C6_Financiación</t>
  </si>
  <si>
    <t>C7_Viabilidad</t>
  </si>
  <si>
    <t>C8_Tiempo</t>
  </si>
  <si>
    <t>Peso Criterios</t>
  </si>
  <si>
    <t>Medida 1</t>
  </si>
  <si>
    <t>Población alcanzada</t>
  </si>
  <si>
    <t>Establecimiento de calendarios de actividades turísticas y regulación de horarios adecuadas a la estación del año, con el fin de evitar riesgos en la salud de los turistas</t>
  </si>
  <si>
    <t>Medida 2</t>
  </si>
  <si>
    <t>Aumento del espacio verde/azul</t>
  </si>
  <si>
    <t>Instalación de fachadas verdes en edificios públicos</t>
  </si>
  <si>
    <t>Medida 3</t>
  </si>
  <si>
    <t>Potencial de refrigeración urbana</t>
  </si>
  <si>
    <t>Instalación de elementos de protección solar (toldos y estores) en fachadas de centros escolares expuestas al sol, y de pérgolas y velas en superficies expuestas</t>
  </si>
  <si>
    <t>Medida 4</t>
  </si>
  <si>
    <t>Cobertura de grupos vulnerables</t>
  </si>
  <si>
    <t>Elaboración de un protocolo general de actuación en centros educativos ante olas de calor</t>
  </si>
  <si>
    <t>Medida 5</t>
  </si>
  <si>
    <t>Elaboración de un Plan de Sombras y Zonas Arboladas</t>
  </si>
  <si>
    <t>Medida 6</t>
  </si>
  <si>
    <t>Aplicación de criterios bioclimáticos en el diseño de los espacios abiertos</t>
  </si>
  <si>
    <t>Medida 7</t>
  </si>
  <si>
    <t xml:space="preserve">Instalación de jardines laterales, consistente en la eliminación de una fila de baldosas de la calzada, que es remplazada por especies vegetales. El exceso de baldosas se utiliza para cercar el jardín. </t>
  </si>
  <si>
    <t>Medida 8</t>
  </si>
  <si>
    <t>Instalación de azoteas frescas o cubiertas verdes en edificios públicos</t>
  </si>
  <si>
    <t>Medida 9</t>
  </si>
  <si>
    <t>Viabilidad</t>
  </si>
  <si>
    <t>Evaluación bioclimática de calles y plazas para redefinir los usos de la ciudad en función de su confort climático</t>
  </si>
  <si>
    <t>Medida 10</t>
  </si>
  <si>
    <t>Creación de anillo verde bordeando el centro urbano para minimizar el efecto isla de calor</t>
  </si>
  <si>
    <t>Medida 11</t>
  </si>
  <si>
    <t>Instalación de toldos en parques infantiles</t>
  </si>
  <si>
    <t>Medida 12</t>
  </si>
  <si>
    <t>Repintado blanco en tejados de guarderías, escuelas, bibliotecas y centros deportivos públicos</t>
  </si>
  <si>
    <t>Medida 13</t>
  </si>
  <si>
    <t>Identificación de oportunidades y recursos de alta potencialidad turística que impulsen la desestacionalización y el desarrollo de nuevas actividades de promoción turística más adaptadas a los episodios de altas temperaturas</t>
  </si>
  <si>
    <t>Medida 14</t>
  </si>
  <si>
    <t>Adecuación de áreas naturales que, por sus características, valores y capacidad sean adecuadas para servir como refugio climático a turistas y habitantes ante el aumento de las temperaturas derivado del cambio climático</t>
  </si>
  <si>
    <t>Medida 15</t>
  </si>
  <si>
    <t>Análisis del riesgo climático de las infraestructuras y equipamientos turísticos frente a las olas de calor</t>
  </si>
  <si>
    <t>Medida 16</t>
  </si>
  <si>
    <t>Establecimiento de datos de referencia para la identificación de zonas prioritarias de actuación durante olas de calor (análisis de cubierta vegetal, cubierta de espacios abiertos, sombra proporcionada por edificios…)</t>
  </si>
  <si>
    <t>Medida 17</t>
  </si>
  <si>
    <t>Plantación de arbolado urbano para aumento de la cubierta arbórea en alineaciones de calles desprovistas de sombra</t>
  </si>
  <si>
    <t>Medida 18</t>
  </si>
  <si>
    <t>Plantación de arbolado urbano en itinerarios escolares para mejorar el confort climático de la infancia</t>
  </si>
  <si>
    <t>Medida 19</t>
  </si>
  <si>
    <t>Transformación de solares abandonados en zonas verdes en los barrios más vulnerables a las olas de calor</t>
  </si>
  <si>
    <t>Medida 20</t>
  </si>
  <si>
    <t>Instalación de estructuras textiles con vegetación en zonas de aparcamiento o calles</t>
  </si>
  <si>
    <t>Medida 21</t>
  </si>
  <si>
    <t>Instalación de pavimentos reflectantes, para reducir la temperatura superficial del suelo y la ambiental.</t>
  </si>
  <si>
    <t>Medida 22</t>
  </si>
  <si>
    <t>Implantación de adoquines y pavimento drenante para disminuir el calor absorbido por el pavimento y la temperatura superficial</t>
  </si>
  <si>
    <t>Medida 23</t>
  </si>
  <si>
    <t>Creación de zonas verdes de descanso en espacios industriales</t>
  </si>
  <si>
    <t>Medida 24</t>
  </si>
  <si>
    <t>Renaturalización de patios escolares</t>
  </si>
  <si>
    <t>Medida 25</t>
  </si>
  <si>
    <t>Instalación de sombreado estacional entre fachadas de edificios</t>
  </si>
  <si>
    <t>Medida 26</t>
  </si>
  <si>
    <t>Instalación de pérgolas fotovoltaicas en espacios abiertos, como aparcamientos o parques infantiles</t>
  </si>
  <si>
    <t>Medida 27</t>
  </si>
  <si>
    <t>Aprobación de cláusula ad hoc que demande la necesidad de disponer de un plan de ajuste al calor extremo en licitaciones</t>
  </si>
  <si>
    <t>Medida 28</t>
  </si>
  <si>
    <t>Recomendación a los centros educativos de disponer de información sobre las patologías del alumnado que los haga vulnerables a las elevadas temperaturas.</t>
  </si>
  <si>
    <t>Medida 29</t>
  </si>
  <si>
    <t>Identificación y designación de personas responsables de la activación del protocolo de actuación en centros escolares ante olas de calor, así como planificación de medidas concretas en caso de activación.</t>
  </si>
  <si>
    <t>Medida 30</t>
  </si>
  <si>
    <t>Instalación de sensores de temperatura en distintas zonas del municipio</t>
  </si>
  <si>
    <t>Medida 31</t>
  </si>
  <si>
    <t>Comprobaciones periódicas del funcionamiento de equipos de climatización a bordo de los vehículos de transporte público y de los intercambiadores de transporte</t>
  </si>
  <si>
    <t>Medida 32</t>
  </si>
  <si>
    <t>Aumento de marquesinas en paradas de autobuses</t>
  </si>
  <si>
    <t>Medida 33</t>
  </si>
  <si>
    <t>Formación de primeros auxilios para conductores y el resto del personal relacionado con el transporte público municipal</t>
  </si>
  <si>
    <t>Medida 34</t>
  </si>
  <si>
    <t>Disponibilidad de financiación</t>
  </si>
  <si>
    <t xml:space="preserve">Incremento de las ayudas públicas para rehabilitación energética de viviendas, destinadas a la población más vulnerable </t>
  </si>
  <si>
    <t>Medida 35</t>
  </si>
  <si>
    <t>Diagnóstico específico de la situación climática de las personas que viven en asentamientos segregados o infraviviendas</t>
  </si>
  <si>
    <t>Medida 36</t>
  </si>
  <si>
    <t>Mapeado del clima urbano para conocer mejor los factores que influyen en el comportamiento climático de la ciudad y localizar zonas vulnerables</t>
  </si>
  <si>
    <t>Medida 37</t>
  </si>
  <si>
    <t>Identificación de lugares donde trasladar actividades que normalmente se organizan en el exterior, aledaños y accesibles (bibliotecas, museos, polideportivos, etc.) para realización de actividades alternativas</t>
  </si>
  <si>
    <t>Medida 38</t>
  </si>
  <si>
    <t>Caracterización de edificios y equipamientos públicos: identificación de puntos de acumulación de calor (sol directo en momentos centrales del día, sin elementos de protección, últimas plantas, etc.), y de puntos más frescos (zonas de sombra, estancias con mayor ventilación, etc.)</t>
  </si>
  <si>
    <t>Medida 39</t>
  </si>
  <si>
    <t>Disposición de áreas de descanso que permitan además hidratarse en edificios y equipamientos públicos.</t>
  </si>
  <si>
    <t>Medida 40</t>
  </si>
  <si>
    <t>Mantenimiento del directorio de personas e instituciones de referencia para puesta en marcha de protocolos de actuación</t>
  </si>
  <si>
    <t>Medida 41</t>
  </si>
  <si>
    <t>Estudios técnicos específicos de análisis de la realidad bioclimática y de confort de los centros docentes para determinar sus características a partir de su ubicación geográfica, orientación, grado de exposición al sol, tipología constructiva, materiales de construcción empleados, calidad del aislamiento, etc., para determinar la necesidad de realizar en los centros actuaciones en materia de aislamiento térmico (aislamiento de tejados, fachadas y ventanas), ventilación, instalación de sistemas de climatización o de temperamento de la temperatura o zonas de sombra en los espacios exteriores</t>
  </si>
  <si>
    <t>Medida 42</t>
  </si>
  <si>
    <t>Ejecución de medidas para la adaptación de infraestructuras y equipamientos turísticos a eventos de altas temperaturas extremas (ej. instalación de estructuras de sombra, habilitación de espacios interiores, instalación de puntos de agua)</t>
  </si>
  <si>
    <t>Medida 43</t>
  </si>
  <si>
    <t>Establecimiento de sistemas de coordinación con empresas, asociaciones y promotores de eventos deportivos</t>
  </si>
  <si>
    <t>Medida 44</t>
  </si>
  <si>
    <t>Establecimiento de sistemas de coordinación con empresas, asociaciones y promotores de eventos culturales</t>
  </si>
  <si>
    <t>Medida 45</t>
  </si>
  <si>
    <t>Realizar una planificación de los trabajos adaptada a la condición de temperaturas extremas para: planificar las tareas de carga metabólica no ligera en jornadas y horas de menos calor; interrumpir y aplazar trabajos al aire libre; establecer o modificar los ciclos de trabajo-descanso y las rotaciones de puestos o tareas</t>
  </si>
  <si>
    <t>Medida 46</t>
  </si>
  <si>
    <t>Identificación y promoción de recursos y productos turísticos adaptados a las condiciones climáticas durante olas de calor</t>
  </si>
  <si>
    <t>Medida 47</t>
  </si>
  <si>
    <t>Identificación de refugios climáticos (zonas arboladas, locales frescos y climatizados) dónde protegerse de las altas temperaturas</t>
  </si>
  <si>
    <t>Medida 48</t>
  </si>
  <si>
    <t>Actualización de los censos de grupos sociales más vulnerables a las elevadas temperaturas extremas ante la activación de alertas de riesgo</t>
  </si>
  <si>
    <t>Medida 49</t>
  </si>
  <si>
    <t>Adecuación de refugios climáticos en lugares prioritarios (zonas con mayor efecto isla de calor, zonas con concentración de población vulnerable…)</t>
  </si>
  <si>
    <t>Medida 50</t>
  </si>
  <si>
    <t>Actualización y mantenimiento de directorios de autoridades de la administración pública implicadas en el Plan Regional de aplicación</t>
  </si>
  <si>
    <t>Medida 51</t>
  </si>
  <si>
    <t>Coordinación con las autoridades sanitarias de las Comunidades Autónomas que elaboran y aplican su propio plan</t>
  </si>
  <si>
    <t>Medida 52</t>
  </si>
  <si>
    <t>Coordinación con las Comunidades Autónomas de la aplicación de campañas de información a diferentes grupos de población</t>
  </si>
  <si>
    <t>Medida 53</t>
  </si>
  <si>
    <t>Instalación de aparatos de aire acondicionado en centros e instalaciones municipales que carezcan de medidas de refrigeración</t>
  </si>
  <si>
    <t>Medida 54</t>
  </si>
  <si>
    <t>Realización de obras para mejorar el aislamiento y la eficiencia energética de edificios e instalaciones municipales de mayor edad edificatoria</t>
  </si>
  <si>
    <t>Medida 55</t>
  </si>
  <si>
    <t>Renovación de vehículos del parque móvil municipal que carecen de aire acondicionado</t>
  </si>
  <si>
    <t>Medida 56</t>
  </si>
  <si>
    <t>Acondicionamiento de playas fluviales o lagunas en las que se permita el baño</t>
  </si>
  <si>
    <t>Medida 57</t>
  </si>
  <si>
    <t>Habilitación de juegos de agua en el espacio público</t>
  </si>
  <si>
    <t>Medida 58</t>
  </si>
  <si>
    <t>Instalación de fuentes nebulizadoras, dispositivos de nebulización y zonas de sombra adicionales en verano, especialmente en los puntos más vulnerables a las olas de calor.</t>
  </si>
  <si>
    <t>Medida 59</t>
  </si>
  <si>
    <t>Tiempo para implementar</t>
  </si>
  <si>
    <t>Aprobación de normativa para la flexibilización del horario laboral de obras emprendidas o adjudicadas por el consistorio durante olas de calor y situaciones de calor extremo</t>
  </si>
  <si>
    <t>Medida 60</t>
  </si>
  <si>
    <t>Comunicación con responsables de centros sociosanitarios para la identificación de personas de alto riesgo, definición de pautas de prevención e hidratación oportunas, así como protocolos de vigilancia del estado de salud y cuidados.</t>
  </si>
  <si>
    <t>Medida 61</t>
  </si>
  <si>
    <t>Instalación de ventilación adicional en edificios públicos y centros sociosanitarios y educativos para garantizar el confort climático durante olas de calor</t>
  </si>
  <si>
    <t>Medida 62</t>
  </si>
  <si>
    <t xml:space="preserve">Refrigeración por efecto evaporativo, regando durante la noche los solados de los espacios libres de parcela y humedeciendo las superficies expuestas a la radiación solar directa durante olas de calor </t>
  </si>
  <si>
    <t>Medida 63</t>
  </si>
  <si>
    <t>Aumento de la frecuencia de transporte público para la reducción de las esperas durante olas de calor</t>
  </si>
  <si>
    <t>Medida 64</t>
  </si>
  <si>
    <t>Activación de teletrabajo a los empleados públicos en caso de altas temperaturas extremas en aquellos puestos que sea posible</t>
  </si>
  <si>
    <t>Medida 65</t>
  </si>
  <si>
    <t>Puesta en marcha de un programa de voluntariado para vigilar el estado de los vecinos más vulnerables durante olas de calor</t>
  </si>
  <si>
    <t>Medida 66</t>
  </si>
  <si>
    <t>Cesión temporal de aires acondicionados móviles para grupos de población más vulnerable mediante convenios y acuerdos</t>
  </si>
  <si>
    <t>Medida 67</t>
  </si>
  <si>
    <t>Extensión de horarios de piscinas públicas y privadas (gimnasios, comunidades de vecinos) mediante acuerdos con operarios y responsables de su gestión</t>
  </si>
  <si>
    <t>Medida 68</t>
  </si>
  <si>
    <t>Suministro "Packs contra las olas de calor" de forma gratuita para la ciudadanía</t>
  </si>
  <si>
    <t>Medida 69</t>
  </si>
  <si>
    <t>Colaboración con las organizaciones de salvamento y socorrismo para aumentar patrullas de socorristas en las playas y piscinas</t>
  </si>
  <si>
    <t>Medida 70</t>
  </si>
  <si>
    <t>Asistencia telefónica gratuita para proporcionar información sobre alertas de calor (nivel de riesgo, recomendaciones, recursos disponibles…) a la ciudadanía interesada.</t>
  </si>
  <si>
    <t>Medida 71</t>
  </si>
  <si>
    <t>Acuerdos con hosteleros y comerciantes para asegurar el suministro de agua gratuita en épocas de calor</t>
  </si>
  <si>
    <t>Medida 72</t>
  </si>
  <si>
    <t>Prohibición del desarrollo de determinadas tareas físicas en el puesto de trabajo durante las horas del día en las que concurran fenómenos meteorológicos adversos y no pueda garantizarse de otro modo la debida protección de la persona trabajadora.</t>
  </si>
  <si>
    <t>Medida 73</t>
  </si>
  <si>
    <t xml:space="preserve">Minimización del tiempo de permanencia en el exterior de personas responsables de trabajos al aire libre durante las situaciones de alerta por temperatura </t>
  </si>
  <si>
    <t>Medida 74</t>
  </si>
  <si>
    <t xml:space="preserve">Distribución del volumen de trabajo en las horas de menor calor (primera hora de la mañana, última hora de la tarde) para los equipos de turnos durante alertas extremas </t>
  </si>
  <si>
    <t>Medida 75</t>
  </si>
  <si>
    <t>Establecimiento de puntos de suministro de agua para garantizar que se encuentra al alcance de los trabajadores y trabajadoras</t>
  </si>
  <si>
    <t>Medida 76</t>
  </si>
  <si>
    <t>Disposición de sistemas que faciliten la aplicación de medidas de refrigeración personal de trabajadores y trabajadoras (duchas, mojarse la cabeza o la nuca)</t>
  </si>
  <si>
    <t>Medida 77</t>
  </si>
  <si>
    <t xml:space="preserve">Colocación de medidas de refrigeración personal portátiles (fuentes) en espacios públicos </t>
  </si>
  <si>
    <t>Medida 78</t>
  </si>
  <si>
    <t>Promoción de la vigilancia recíproca entre personas trabajadoras expuestas durante jornadas de trabajo al exterior en épocas de temperaturas extremas</t>
  </si>
  <si>
    <t>Medida 79</t>
  </si>
  <si>
    <t>Revisión y seguimiento de los fenómenos meteorológicos cuando se haya previsto realizar algún tipo de actividad cultural o evento público en espacios exteriores, con el objetivo de maximizar las precauciones, evitar riesgos y activar protocolos.</t>
  </si>
  <si>
    <t>Medida 80</t>
  </si>
  <si>
    <t>Cancelación de eventos en el exterior ante la activación de niveles alto de riesgo por temperaturas extremas</t>
  </si>
  <si>
    <t>Medida 81</t>
  </si>
  <si>
    <t xml:space="preserve">Comunicación y colaboración con los centros escolares para la flexibilización del horario del alumnado, con la finalidad de adaptarse a las circunstancias de altas temperaturas excepcionales </t>
  </si>
  <si>
    <t>Medida 82</t>
  </si>
  <si>
    <t>Ventilación de edificios públicos en horario nocturno para que el calor acumulado irradie a la atmósfera</t>
  </si>
  <si>
    <t>Medida 83</t>
  </si>
  <si>
    <t>Actuaciones de verificación sobre equipos y condiciones de trabajo al aire libre: los trabajadores municipales disponen de equipo de protección solar necesario (cubrecabezas, gafas de seguridad para los ojos y ropa de colores claros)</t>
  </si>
  <si>
    <t>Medida 84</t>
  </si>
  <si>
    <t xml:space="preserve">Designación de un observador de los trabajadores mientras trabajan en un entorno de altas temperaturas y bajo la luz solar directa para que busque cualquier síntoma o signo de problemas de salud asociados a las altas temperaturas </t>
  </si>
  <si>
    <t>Medida 85</t>
  </si>
  <si>
    <t>Desarrollo de un dispositivo especial contra el calor para atender a las personas sin hogar, habilitando plazas adicionales de alojamiento en las horas centrales del día, de manera escalonada en función del nivel de riesgo</t>
  </si>
  <si>
    <t>Medida 86</t>
  </si>
  <si>
    <t xml:space="preserve">Establecimiento de sistemas y protocolos de coordinación entre los servicios policiales, de emergencia y de atención social para desarrollar actuaciones encaminadas a prevenir, detectar y atender a las personas en situación de sinhogarismo ante olas de calor extremo </t>
  </si>
  <si>
    <t>Medida 87</t>
  </si>
  <si>
    <t>Evitar actividades escolares en los espacios más calurosos, trasladando al alumnado a otros espacios o instalaciones del centro docente que resulten más abiertos, frescos y sombreados</t>
  </si>
  <si>
    <t>Medida 88</t>
  </si>
  <si>
    <t>Reorganización de actividades dentro del horario lectivo en función de las circunstancias meteorológicas, evitando las tareas de mayor actividad física en las horas más calurosas del día y procurando que se realicen en espacios de sombra</t>
  </si>
  <si>
    <t>Medida 89</t>
  </si>
  <si>
    <t>Reorganización de las actividades extraescolares en centros educativos, trasladando a los alumnos a espacios cubiertos o con sombra</t>
  </si>
  <si>
    <t>Medida 90</t>
  </si>
  <si>
    <t>Programación alternativa de actividades extraescolares o actividades de escuelas de verano durante olas de calor</t>
  </si>
  <si>
    <t>Medida 91</t>
  </si>
  <si>
    <t>Flexibilización del horario del alumnado para adaptarse a las circunstancias de altas temperaturas excepcionales, pudiendo implicar la salida anticipada los días en que se active la alerta naranja o roja, previa comunicación adecuada a las familias y autorizada por representantes legales</t>
  </si>
  <si>
    <t>Medida 92</t>
  </si>
  <si>
    <t>Revisión de actividades complementarias fuera del centro docente (visitas, excursiones, actividades culturales, recreativas o deportivas) para su reprogramación, aplazamiento o cancelación bajo el criterio de protección de todos los miembros de la comunidad educativa</t>
  </si>
  <si>
    <t>Medida 93</t>
  </si>
  <si>
    <t>Revisión de botiquines de primeros auxilios en centros públicos para verificar la disponibilidad de material adecuado en caso de tener que atender casos ante las altas temperaturas excepcionales</t>
  </si>
  <si>
    <t>Medida 94</t>
  </si>
  <si>
    <t>Reubicación de actividades con usuarios en equipamientos públicos, en las plantas bajas y con orientación norte y noreste de los edificios, evitando espacios que concentran el calor: espacios bajo cubierta, espacios con dificultados de ventilación (una sola orientación, los que dan a calles de tráfico intenso o a superficies que irradien calor), espacios con grandes superficies acristaladas sin proteger.</t>
  </si>
  <si>
    <t>Medida 95</t>
  </si>
  <si>
    <t>Evitar la celebración de actividades y eventos en el exterior, especialmente si suponen exposición al sol y en los momentos centrales del día.</t>
  </si>
  <si>
    <t>Medida 96</t>
  </si>
  <si>
    <t>Mejora de la ventilación de edificios públicos para reducir la temperatura en interiores: ventilación en las horas más frescas del día, favoreciendo la ventilación natural cruzada de los espacios, y favoreciendo la entrada de aire de las zonas que se encuentren en sombra.</t>
  </si>
  <si>
    <t>Medida 97</t>
  </si>
  <si>
    <t>Uso de elementos de protección (toldos, personas, pantallas vinílicas) en ventanas de edificios públicos en momentos de radiación directa</t>
  </si>
  <si>
    <t>Medida 98</t>
  </si>
  <si>
    <t>Reducción del uso de equipos e instalaciones que generen calor en equipamientos y edificios públicos (apagar equipos informáticos, proyectores o pizarras interactivas en modo "stand by", reducir la iluminación de espacios comunes y mantener apagadas luminarias que no sean tipo LED).</t>
  </si>
  <si>
    <t>Medida 99</t>
  </si>
  <si>
    <t>Refuerzo en caso necesario de dotación y organización de servicios de emergencias</t>
  </si>
  <si>
    <t>Medida 100</t>
  </si>
  <si>
    <t>Red de servicios municipales: identificación de población diana y contacto a través de los servicios de ayuda a domicilio y teleasistencia, y de los centros sociales</t>
  </si>
  <si>
    <t>Medida 101</t>
  </si>
  <si>
    <t>Vigilancia y adecuación de eventos deportivos (celebración fuera de horas de más calor, valoración de suspensión o aplazamiento en caso de temperaturas extremas, asegurar números y lugares de puntos de hidratación o avituallamiento, etc.)</t>
  </si>
  <si>
    <t>Medida 102</t>
  </si>
  <si>
    <t>Vigilancia y adecuación de eventos culturales (asegurar la disponibilidad de agua en suficientes puntos del recinto, facilitar áreas de sombra y puntos de refresco, avisos a los asistentes por megafonía y a la entrada sobre recomendaciones para prevenir los efectos del calor...)</t>
  </si>
  <si>
    <t>Medida 103</t>
  </si>
  <si>
    <t>Actuaciones en calle para sensibilización y distribución de material preventivo a personas sin hogar</t>
  </si>
  <si>
    <t>Medida 104</t>
  </si>
  <si>
    <t>Habilitación, en trabajos al aire libre, de zonas de sombra para el desarrollo de tareas y espacios acondicionados para el descanso del personal, por ejemplo, casetas con climatización</t>
  </si>
  <si>
    <t>Medida 105</t>
  </si>
  <si>
    <t>Instalación de sombrajes temporales para zonas de aparcamiento de trabajadores en el exterior, sin alternativa de aparcamiento cubierto</t>
  </si>
  <si>
    <t>Medida 106</t>
  </si>
  <si>
    <t>Coordinación e información con servicios sanitarios de apoyo a eventos deportivos sobre medidas tomadas y alerta ante la aparición de síntomas de patología asociada al calor</t>
  </si>
  <si>
    <t>Medida 107</t>
  </si>
  <si>
    <t>Coordinación e información con servicios sanitarios de apoyo a eventos culturales sobre medidas tomadas y alerta ante la aparición de síntomas de patología asociada al calor</t>
  </si>
  <si>
    <t>Medida 108</t>
  </si>
  <si>
    <t>Valorar la suspensión, el aplazamiento o el cambio de horario de las actividades organizadas para los días de alerta que entrañen riesgos para la salud en situaciones de altas temperaturas</t>
  </si>
  <si>
    <t>Medida 109</t>
  </si>
  <si>
    <t>Oferta de refugios climáticos (coordinación con otras entidades, revisión de instalaciones, publicidad y comunicación)</t>
  </si>
  <si>
    <t>Medida 110</t>
  </si>
  <si>
    <t>Vigilar y adecuar el confort de los espacios municipales frecuentados por población de riesgo (personas mayores, personas con discapacidad, menores de edad)</t>
  </si>
  <si>
    <t>Medida 111</t>
  </si>
  <si>
    <t>Activar servicios municipales que pueden actuar en situaciones de alerta por altas temperaturas (policía local, servicios sociales, agrupaciones de personas voluntarias, etc.).</t>
  </si>
  <si>
    <t>Medida 112</t>
  </si>
  <si>
    <t>Comunicación inmediata a los servicios indicados en el plan de actuación municipal ante situaciones de emergencia</t>
  </si>
  <si>
    <t>Medida 113</t>
  </si>
  <si>
    <t>Intensificación de la coordinación con los organismos responsables a nivel autonómico de los planes regionales para prevención de los efectos de las altas temperaturas extremas</t>
  </si>
  <si>
    <t>Medida 114</t>
  </si>
  <si>
    <t>Intensificación de la coordinación con servicios municipales que pueden actuar en situaciones de alerta por altas temperaturas (policía local, servicios sociales, agrupaciones de personas voluntarias, etc.).</t>
  </si>
  <si>
    <t>Medida 115</t>
  </si>
  <si>
    <t>Refuerzo de la comunicación con los servicios indicados en el plan de actuación municipal ante situaciones de emergencia</t>
  </si>
  <si>
    <t>Medida 116</t>
  </si>
  <si>
    <t>Refuerzo de la coordinación con los organismos responsables a nivel autonómico de los planes regionales para prevención de los efectos de las altas temperaturas extremas</t>
  </si>
  <si>
    <t>Medida 117</t>
  </si>
  <si>
    <t>Colocación de paneles informativos sobre el nivel de alerta de cada día en un lugar visible para todos los usuarios y los trabajadores de los centros sociosanitarios</t>
  </si>
  <si>
    <t>Medida 118</t>
  </si>
  <si>
    <t>Coste de ejecución</t>
  </si>
  <si>
    <t>Diseño y publicación de guías sobre "rutas frías" o "centros fríos" a través de paneles físicos o aplicaciones online</t>
  </si>
  <si>
    <t>Medida 119</t>
  </si>
  <si>
    <t>Capacitación para familias sobre cómo evitar riesgos derivados del calor extremo en la infancia, proporcionando información sobre protección ante altas temperaturas excepcionales (vestimenta, uso de protección solar…), o desayunos adecuados.</t>
  </si>
  <si>
    <t>Medida 120</t>
  </si>
  <si>
    <t xml:space="preserve">Formación al profesorado para identificar los efectos del organismo ante un golpe de calor en centros educativos </t>
  </si>
  <si>
    <t>Medida 121</t>
  </si>
  <si>
    <t>Clasificación y "personificación" de las olas de calor, dándoles nombre (tal y como se hace con terremotos y huracanes) con el objetivo de sensibilizar a la ciudadanía y que esta tome medidas efectivas para protegerse frente al calor extremo.</t>
  </si>
  <si>
    <t>Medida 122</t>
  </si>
  <si>
    <t>Taller de prevención ante el exceso de calor organizado a través de asociaciones, centros de día municipales, unidades de trabajo social, distritos municipales, AMPAs..</t>
  </si>
  <si>
    <t>Medida 123</t>
  </si>
  <si>
    <t>Formación e información orientada a trabajadores que realizan actividades en el exterior sobre los efectos de las altas temperaturas en la salud, los síntomas previos al golpe de calor, así como las medidas preventivas específicas a adoptar</t>
  </si>
  <si>
    <t>Medida 124</t>
  </si>
  <si>
    <t xml:space="preserve">Formación de agentes implicados en el sistema de prevención de altas temperaturas extremas sobre el protocolo de actuación </t>
  </si>
  <si>
    <t>Medida 125</t>
  </si>
  <si>
    <t>Elaboración y publicación (online o en papel) de un mapa de la red de fuentes potables</t>
  </si>
  <si>
    <t>Medida 126</t>
  </si>
  <si>
    <t>Campañas internas para los residentes y trabajadores de centros sociosanitarios sobre la importancia de una adecuada hidratación y la vigilancia del estado de los usuarios más vulnerables a los efectos de las altas temperaturas</t>
  </si>
  <si>
    <t>Medida 127</t>
  </si>
  <si>
    <t>Charlas informativas a empresas para prevenir los riesgos laborales derivados del calor con el objetivo de que, tanto las empresas como los trabajadores conozcan los efectos del calor en su organismo, así como medidas y recomendaciones para paliarlos</t>
  </si>
  <si>
    <t>Medida 128</t>
  </si>
  <si>
    <t>Campañas para el refuerzo de la red social de las personas mayores que viven solas, mediante voluntariados o teleasistencia durante el verano (ej. contactar al menos una vez al día para valorar su estado)</t>
  </si>
  <si>
    <t>Medida 129</t>
  </si>
  <si>
    <t xml:space="preserve">Difusión de medidas para la refrigeración natural de los edificios (ventilación simple, ventilación cruzada, ventilación nocturna, refrigeración por efecto evaporativo, reducción del uso de equipos emisores de calor) </t>
  </si>
  <si>
    <t>Medida 130</t>
  </si>
  <si>
    <t>Difusión de información a población sobre la existencia del Plan, grupos de riesgo y significado de los niveles, a través de canales corporativos y medios de comunicación locales</t>
  </si>
  <si>
    <t>Medida 131</t>
  </si>
  <si>
    <t>Elaboración de campaña de información básica a la ciudadanía y a grupos específicos sobre los efectos nocivos del exceso de calor y medidas de autoprotección que deben adoptarse (ej. cuidados personales, medidas para el domicilio)</t>
  </si>
  <si>
    <t>Medida 132</t>
  </si>
  <si>
    <t>Distribución de materiales de información entre las personas más vulnerables por motivos de edad avanzada</t>
  </si>
  <si>
    <t>Medida 133</t>
  </si>
  <si>
    <t>Campañas de información a trabajadores municipales relativa a la alerta y sobre las medidas para prevenir los efectos de calor</t>
  </si>
  <si>
    <t>Medida 134</t>
  </si>
  <si>
    <t>Campaña de fomento de la solidaridad y la prevención en el entorno familiar, vecinal y comunitario, especialmente para la atención de las personas enfermas y necesitadas.</t>
  </si>
  <si>
    <t>Medida 135</t>
  </si>
  <si>
    <t>Campaña sobre medidas para prevención de incendios en urbanizaciones próximas a zonas forestales durante olas de calor (ej. evitar barbacoas, desbroces…)</t>
  </si>
  <si>
    <t>Medida 136</t>
  </si>
  <si>
    <t>Campaña de información por parte de los servicios sociales de base municipales y ONGs para población especialmente vulnerable por motivos de situación social</t>
  </si>
  <si>
    <t>Medida 137</t>
  </si>
  <si>
    <t>Difusión de recomendaciones para la organización, participantes y asistentes a eventos deportivos</t>
  </si>
  <si>
    <t>Medida 138</t>
  </si>
  <si>
    <t>Difusión de recomendaciones sobre medidas preventivas para la organización y asistentes a eventos culturales</t>
  </si>
  <si>
    <t>Medida 139</t>
  </si>
  <si>
    <t>Distribución de materiales informativos en oficinas de turismo y establecimientos turísticos</t>
  </si>
  <si>
    <t>Medida 140</t>
  </si>
  <si>
    <t>Elaboración y publicación (online o en papel) de un mapa de la red de refugios climáticos</t>
  </si>
  <si>
    <t>Medida 141</t>
  </si>
  <si>
    <t>Difusión de la suscripción al “Servicio de Suscripción de Temperaturas y Niveles de Riesgo”, a través del cual podrán recibir un correo electrónico y/o SMS con la información diaria sobre las temperaturas y el nivel de riesgo para la salud de aquellas provincias que les sean de interés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</si>
</sst>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50">
    <font>
      <sz val="11"/>
      <color theme="1"/>
      <name val="Aptos Narrow"/>
      <family val="2"/>
      <scheme val="minor"/>
    </font>
    <font>
      <b/>
      <sz val="11"/>
      <color theme="0"/>
      <name val="Aptos Narrow"/>
      <family val="2"/>
      <scheme val="minor"/>
    </font>
    <font>
      <b/>
      <sz val="18"/>
      <color theme="0"/>
      <name val="Aptos Narrow"/>
      <family val="2"/>
      <scheme val="minor"/>
    </font>
    <font>
      <b/>
      <sz val="36"/>
      <color theme="0"/>
      <name val="Aptos Narrow"/>
      <family val="2"/>
      <scheme val="minor"/>
    </font>
    <font>
      <b/>
      <sz val="11"/>
      <color theme="1"/>
      <name val="Aptos Narrow"/>
      <family val="2"/>
      <scheme val="minor"/>
    </font>
    <font>
      <sz val="11"/>
      <name val="Aptos Narrow"/>
      <family val="2"/>
      <scheme val="minor"/>
    </font>
    <font>
      <b/>
      <sz val="12"/>
      <color theme="1"/>
      <name val="Aptos Narrow"/>
      <family val="2"/>
      <scheme val="minor"/>
    </font>
    <font>
      <sz val="10"/>
      <name val="Arial"/>
      <family val="2"/>
    </font>
    <font>
      <sz val="12"/>
      <name val="Aptos Narrow"/>
      <family val="2"/>
      <scheme val="minor"/>
    </font>
    <font>
      <sz val="14"/>
      <color theme="1"/>
      <name val="Aptos Narrow"/>
      <family val="2"/>
      <scheme val="minor"/>
    </font>
    <font>
      <sz val="11"/>
      <color theme="0"/>
      <name val="Aptos Narrow"/>
      <family val="2"/>
      <scheme val="minor"/>
    </font>
    <font>
      <b/>
      <sz val="22"/>
      <color theme="0"/>
      <name val="Aptos Narrow"/>
      <family val="2"/>
      <scheme val="minor"/>
    </font>
    <font>
      <b/>
      <sz val="11"/>
      <color rgb="FF1F1F1F"/>
      <name val="Calibri"/>
      <family val="2"/>
    </font>
    <font>
      <b/>
      <sz val="12"/>
      <color rgb="FF1F1F1F"/>
      <name val="Calibri"/>
      <family val="2"/>
    </font>
    <font>
      <sz val="11"/>
      <color rgb="FF1F1F1F"/>
      <name val="Calibri"/>
      <family val="2"/>
    </font>
    <font>
      <sz val="11"/>
      <color theme="9" tint="0.79998168889431442"/>
      <name val="Aptos Narrow"/>
      <family val="2"/>
      <scheme val="minor"/>
    </font>
    <font>
      <sz val="18"/>
      <name val="Aptos Narrow"/>
      <family val="2"/>
      <scheme val="minor"/>
    </font>
    <font>
      <sz val="22"/>
      <name val="Franklin Gothic Medium Cond"/>
      <family val="2"/>
    </font>
    <font>
      <sz val="11"/>
      <name val="Calibri"/>
      <family val="2"/>
    </font>
    <font>
      <b/>
      <sz val="16"/>
      <color rgb="FF1F1F1F"/>
      <name val="Aptos Narrow"/>
      <family val="2"/>
      <scheme val="minor"/>
    </font>
    <font>
      <b/>
      <sz val="11"/>
      <color rgb="FFFFFFFF"/>
      <name val="Calibri"/>
      <family val="2"/>
    </font>
    <font>
      <sz val="11"/>
      <color theme="0"/>
      <name val="Arial"/>
      <family val="2"/>
    </font>
    <font>
      <b/>
      <sz val="14"/>
      <color rgb="FF1F1F1F"/>
      <name val="Calibri"/>
      <family val="2"/>
    </font>
    <font>
      <sz val="14"/>
      <color rgb="FF1F1F1F"/>
      <name val="Calibri"/>
      <family val="2"/>
    </font>
    <font>
      <sz val="8"/>
      <name val="Aptos Narrow"/>
      <family val="2"/>
      <scheme val="minor"/>
    </font>
    <font>
      <b/>
      <sz val="16"/>
      <color theme="0"/>
      <name val="Calibri"/>
      <family val="2"/>
    </font>
    <font>
      <b/>
      <sz val="16"/>
      <name val="Calibri"/>
      <family val="2"/>
    </font>
    <font>
      <b/>
      <sz val="10"/>
      <color rgb="FFFFFFFF"/>
      <name val="Calibri"/>
      <family val="2"/>
    </font>
    <font>
      <i/>
      <sz val="11"/>
      <color theme="1"/>
      <name val="Aptos Narrow"/>
      <family val="2"/>
      <scheme val="minor"/>
    </font>
    <font>
      <b/>
      <sz val="14"/>
      <color theme="1"/>
      <name val="Calibri"/>
      <family val="2"/>
    </font>
    <font>
      <b/>
      <sz val="16"/>
      <color theme="0"/>
      <name val="Aptos Narrow"/>
      <family val="2"/>
      <scheme val="minor"/>
    </font>
    <font>
      <b/>
      <sz val="12"/>
      <color theme="0"/>
      <name val="Calibri"/>
      <family val="2"/>
    </font>
    <font>
      <sz val="11"/>
      <color theme="0"/>
      <name val="Calibri"/>
      <family val="2"/>
    </font>
    <font>
      <b/>
      <sz val="11"/>
      <color theme="0"/>
      <name val="Calibri"/>
      <family val="2"/>
    </font>
    <font>
      <sz val="26"/>
      <color rgb="FFFF0000"/>
      <name val="Aptos Narrow"/>
      <family val="2"/>
      <scheme val="minor"/>
    </font>
    <font>
      <sz val="26"/>
      <color rgb="FF00B050"/>
      <name val="Aptos Narrow"/>
      <family val="2"/>
      <scheme val="minor"/>
    </font>
    <font>
      <sz val="26"/>
      <color rgb="FFFFFF00"/>
      <name val="Aptos Narrow"/>
      <family val="2"/>
      <scheme val="minor"/>
    </font>
    <font>
      <sz val="26"/>
      <color rgb="FFFFC000"/>
      <name val="Aptos Narrow"/>
      <family val="2"/>
      <scheme val="minor"/>
    </font>
    <font>
      <sz val="11"/>
      <color theme="1"/>
      <name val="Arial"/>
      <family val="2"/>
    </font>
    <font>
      <sz val="12"/>
      <color rgb="FF1F1F1F"/>
      <name val="Calibri"/>
      <family val="2"/>
    </font>
    <font>
      <u/>
      <sz val="11"/>
      <color theme="10"/>
      <name val="Aptos Narrow"/>
      <family val="2"/>
      <scheme val="minor"/>
    </font>
    <font>
      <sz val="10"/>
      <color theme="1"/>
      <name val="Aptos Narrow"/>
      <family val="2"/>
      <scheme val="minor"/>
    </font>
    <font>
      <sz val="10.4"/>
      <color theme="1"/>
      <name val="Aptos Narrow"/>
      <family val="2"/>
      <scheme val="minor"/>
    </font>
    <font>
      <b/>
      <sz val="10.4"/>
      <color theme="1"/>
      <name val="Aptos Narrow"/>
      <family val="2"/>
      <scheme val="minor"/>
    </font>
    <font>
      <b/>
      <sz val="12"/>
      <color rgb="FF00B050"/>
      <name val="Aptos Narrow"/>
      <family val="2"/>
      <scheme val="minor"/>
    </font>
    <font>
      <b/>
      <sz val="12"/>
      <color rgb="FFFFFF00"/>
      <name val="Aptos Narrow"/>
      <family val="2"/>
      <scheme val="minor"/>
    </font>
    <font>
      <b/>
      <sz val="12"/>
      <color rgb="FFFFC000"/>
      <name val="Aptos Narrow"/>
      <family val="2"/>
      <scheme val="minor"/>
    </font>
    <font>
      <b/>
      <sz val="12"/>
      <color rgb="FFFF0000"/>
      <name val="Aptos Narrow"/>
      <family val="2"/>
      <scheme val="minor"/>
    </font>
    <font>
      <b/>
      <sz val="10"/>
      <color rgb="FF1F1F1F"/>
      <name val="Calibri"/>
      <family val="2"/>
    </font>
    <font>
      <i/>
      <sz val="10.4"/>
      <color theme="1"/>
      <name val="Aptos Narrow"/>
      <family val="2"/>
      <scheme val="minor"/>
    </font>
  </fonts>
  <fills count="27">
    <fill>
      <patternFill patternType="none"/>
    </fill>
    <fill>
      <patternFill patternType="gray125"/>
    </fill>
    <fill>
      <patternFill patternType="solid">
        <fgColor theme="9" tint="0.79998168889431442"/>
        <bgColor indexed="64"/>
      </patternFill>
    </fill>
    <fill>
      <patternFill patternType="solid">
        <fgColor rgb="FFF2F2F2"/>
      </patternFill>
    </fill>
    <fill>
      <patternFill patternType="solid">
        <fgColor theme="0" tint="-4.9989318521683403E-2"/>
        <bgColor indexed="64"/>
      </patternFill>
    </fill>
    <fill>
      <patternFill patternType="solid">
        <fgColor rgb="FFFFFFFF"/>
      </patternFill>
    </fill>
    <fill>
      <patternFill patternType="solid">
        <fgColor rgb="FF009882"/>
        <bgColor indexed="64"/>
      </patternFill>
    </fill>
    <fill>
      <patternFill patternType="solid">
        <fgColor rgb="FF002142"/>
        <bgColor indexed="64"/>
      </patternFill>
    </fill>
    <fill>
      <patternFill patternType="solid">
        <fgColor rgb="FF1F4E79"/>
      </patternFill>
    </fill>
    <fill>
      <patternFill patternType="solid">
        <fgColor rgb="FFFFBDBD"/>
        <bgColor indexed="64"/>
      </patternFill>
    </fill>
    <fill>
      <patternFill patternType="solid">
        <fgColor rgb="FFC00000"/>
        <bgColor indexed="64"/>
      </patternFill>
    </fill>
    <fill>
      <patternFill patternType="solid">
        <fgColor theme="0" tint="-0.14999847407452621"/>
        <bgColor indexed="65"/>
      </patternFill>
    </fill>
    <fill>
      <patternFill patternType="solid">
        <fgColor theme="8" tint="0.59999389629810485"/>
        <bgColor indexed="64"/>
      </patternFill>
    </fill>
    <fill>
      <patternFill patternType="solid">
        <fgColor theme="8" tint="-0.499984740745262"/>
        <bgColor indexed="64"/>
      </patternFill>
    </fill>
    <fill>
      <patternFill patternType="solid">
        <fgColor rgb="FFFFFF99"/>
        <bgColor indexed="64"/>
      </patternFill>
    </fill>
    <fill>
      <patternFill patternType="solid">
        <fgColor rgb="FFC09200"/>
        <bgColor indexed="64"/>
      </patternFill>
    </fill>
    <fill>
      <patternFill patternType="solid">
        <fgColor rgb="FFFF0000"/>
        <bgColor indexed="64"/>
      </patternFill>
    </fill>
    <fill>
      <patternFill patternType="solid">
        <fgColor rgb="FFF28A2E"/>
        <bgColor indexed="64"/>
      </patternFill>
    </fill>
    <fill>
      <patternFill patternType="solid">
        <fgColor rgb="FFFEF8E6"/>
        <bgColor indexed="64"/>
      </patternFill>
    </fill>
    <fill>
      <patternFill patternType="solid">
        <fgColor rgb="FFC0620C"/>
        <bgColor indexed="64"/>
      </patternFill>
    </fill>
    <fill>
      <patternFill patternType="solid">
        <fgColor rgb="FFFFEDD7"/>
        <bgColor indexed="64"/>
      </patternFill>
    </fill>
    <fill>
      <patternFill patternType="solid">
        <fgColor rgb="FF492E03"/>
        <bgColor indexed="64"/>
      </patternFill>
    </fill>
    <fill>
      <patternFill patternType="gray0625">
        <bgColor rgb="FFFFEDD7"/>
      </patternFill>
    </fill>
    <fill>
      <patternFill patternType="solid">
        <fgColor rgb="FFFBC880"/>
        <bgColor indexed="64"/>
      </patternFill>
    </fill>
    <fill>
      <patternFill patternType="solid">
        <fgColor rgb="FF1C4976"/>
        <bgColor indexed="64"/>
      </patternFill>
    </fill>
    <fill>
      <patternFill patternType="solid">
        <fgColor rgb="FFEFF5FB"/>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auto="1"/>
      </left>
      <right style="thin">
        <color auto="1"/>
      </right>
      <top/>
      <bottom/>
      <diagonal/>
    </border>
    <border>
      <left style="thin">
        <color rgb="FFA6A6A6"/>
      </left>
      <right style="thin">
        <color rgb="FFA6A6A6"/>
      </right>
      <top style="thin">
        <color rgb="FFA6A6A6"/>
      </top>
      <bottom style="thin">
        <color rgb="FFA6A6A6"/>
      </bottom>
      <diagonal/>
    </border>
    <border>
      <left style="thin">
        <color indexed="64"/>
      </left>
      <right/>
      <top/>
      <bottom style="thin">
        <color indexed="64"/>
      </bottom>
      <diagonal/>
    </border>
    <border>
      <left style="thin">
        <color rgb="FFA6A6A6"/>
      </left>
      <right/>
      <top style="thin">
        <color rgb="FFA6A6A6"/>
      </top>
      <bottom/>
      <diagonal/>
    </border>
    <border>
      <left/>
      <right style="thin">
        <color rgb="FFA6A6A6"/>
      </right>
      <top style="thin">
        <color rgb="FFA6A6A6"/>
      </top>
      <bottom/>
      <diagonal/>
    </border>
    <border>
      <left style="thin">
        <color rgb="FFA6A6A6"/>
      </left>
      <right/>
      <top/>
      <bottom/>
      <diagonal/>
    </border>
    <border>
      <left/>
      <right style="thin">
        <color rgb="FFA6A6A6"/>
      </right>
      <top/>
      <bottom/>
      <diagonal/>
    </border>
    <border>
      <left style="thin">
        <color rgb="FFA6A6A6"/>
      </left>
      <right/>
      <top/>
      <bottom style="thin">
        <color rgb="FFA6A6A6"/>
      </bottom>
      <diagonal/>
    </border>
    <border>
      <left/>
      <right style="thin">
        <color rgb="FFA6A6A6"/>
      </right>
      <top/>
      <bottom style="thin">
        <color rgb="FFA6A6A6"/>
      </bottom>
      <diagonal/>
    </border>
    <border>
      <left/>
      <right/>
      <top style="thin">
        <color indexed="64"/>
      </top>
      <bottom/>
      <diagonal/>
    </border>
    <border>
      <left/>
      <right style="thin">
        <color indexed="64"/>
      </right>
      <top style="thin">
        <color indexed="64"/>
      </top>
      <bottom/>
      <diagonal/>
    </border>
    <border>
      <left/>
      <right/>
      <top/>
      <bottom style="thin">
        <color rgb="FFA6A6A6"/>
      </bottom>
      <diagonal/>
    </border>
    <border>
      <left style="thin">
        <color auto="1"/>
      </left>
      <right style="thin">
        <color theme="0"/>
      </right>
      <top/>
      <bottom/>
      <diagonal/>
    </border>
    <border>
      <left style="thin">
        <color theme="0"/>
      </left>
      <right style="thin">
        <color theme="0"/>
      </right>
      <top/>
      <bottom/>
      <diagonal/>
    </border>
    <border>
      <left style="thin">
        <color theme="0"/>
      </left>
      <right style="thin">
        <color auto="1"/>
      </right>
      <top/>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style="thin">
        <color rgb="FFA6A6A6"/>
      </left>
      <right style="thin">
        <color rgb="FFA6A6A6"/>
      </right>
      <top style="thin">
        <color rgb="FFA6A6A6"/>
      </top>
      <bottom/>
      <diagonal/>
    </border>
    <border>
      <left style="thin">
        <color theme="0"/>
      </left>
      <right/>
      <top/>
      <bottom/>
      <diagonal/>
    </border>
    <border>
      <left/>
      <right style="thin">
        <color theme="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D9D9D9"/>
      </left>
      <right style="thin">
        <color rgb="FFD9D9D9"/>
      </right>
      <top style="thin">
        <color rgb="FFD9D9D9"/>
      </top>
      <bottom style="thin">
        <color rgb="FFD9D9D9"/>
      </bottom>
      <diagonal/>
    </border>
    <border>
      <left style="thin">
        <color theme="1"/>
      </left>
      <right style="thin">
        <color auto="1"/>
      </right>
      <top/>
      <bottom/>
      <diagonal/>
    </border>
    <border>
      <left style="thin">
        <color rgb="FF002142"/>
      </left>
      <right style="thin">
        <color rgb="FF002142"/>
      </right>
      <top/>
      <bottom/>
      <diagonal/>
    </border>
  </borders>
  <cellStyleXfs count="3">
    <xf numFmtId="0" fontId="0" fillId="0" borderId="0"/>
    <xf numFmtId="0" fontId="7" fillId="0" borderId="0"/>
    <xf numFmtId="0" fontId="40" fillId="0" borderId="0" applyNumberFormat="0" applyFill="0" applyBorder="0" applyAlignment="0" applyProtection="0"/>
  </cellStyleXfs>
  <cellXfs count="169">
    <xf numFmtId="0" fontId="0" fillId="0" borderId="0" xfId="0"/>
    <xf numFmtId="0" fontId="0" fillId="0" borderId="0" xfId="0"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0" xfId="0" applyAlignment="1">
      <alignment vertical="top" wrapText="1"/>
    </xf>
    <xf numFmtId="0" fontId="4" fillId="0" borderId="0" xfId="0" applyFont="1"/>
    <xf numFmtId="0" fontId="0" fillId="0" borderId="0" xfId="0" applyProtection="1">
      <protection hidden="1"/>
    </xf>
    <xf numFmtId="0" fontId="0" fillId="2" borderId="0" xfId="0" applyFill="1" applyProtection="1">
      <protection hidden="1"/>
    </xf>
    <xf numFmtId="0" fontId="13" fillId="3" borderId="11" xfId="0" applyFont="1" applyFill="1" applyBorder="1" applyAlignment="1" applyProtection="1">
      <alignment horizontal="center" vertical="center" wrapText="1"/>
      <protection hidden="1"/>
    </xf>
    <xf numFmtId="0" fontId="13" fillId="5" borderId="11" xfId="0" applyFont="1" applyFill="1" applyBorder="1" applyAlignment="1" applyProtection="1">
      <alignment horizontal="center" vertical="center" wrapText="1"/>
      <protection hidden="1"/>
    </xf>
    <xf numFmtId="0" fontId="12" fillId="5" borderId="11" xfId="0" applyFont="1" applyFill="1" applyBorder="1" applyAlignment="1" applyProtection="1">
      <alignment horizontal="center" vertical="center" wrapText="1"/>
      <protection hidden="1"/>
    </xf>
    <xf numFmtId="0" fontId="12" fillId="5" borderId="11" xfId="0" applyFont="1" applyFill="1" applyBorder="1" applyAlignment="1" applyProtection="1">
      <alignment horizontal="left" vertical="center" wrapText="1"/>
      <protection hidden="1"/>
    </xf>
    <xf numFmtId="0" fontId="14" fillId="5" borderId="11" xfId="0" applyFont="1" applyFill="1" applyBorder="1" applyAlignment="1" applyProtection="1">
      <alignment horizontal="center" vertical="center" wrapText="1"/>
      <protection hidden="1"/>
    </xf>
    <xf numFmtId="0" fontId="14" fillId="3" borderId="11" xfId="0" applyFont="1" applyFill="1" applyBorder="1" applyAlignment="1" applyProtection="1">
      <alignment horizontal="left" vertical="center" wrapText="1"/>
      <protection hidden="1"/>
    </xf>
    <xf numFmtId="0" fontId="12" fillId="3" borderId="11" xfId="0" applyFont="1" applyFill="1" applyBorder="1" applyAlignment="1" applyProtection="1">
      <alignment horizontal="center" vertical="center" wrapText="1"/>
      <protection hidden="1"/>
    </xf>
    <xf numFmtId="0" fontId="12" fillId="3" borderId="11" xfId="0" applyFont="1" applyFill="1" applyBorder="1" applyAlignment="1" applyProtection="1">
      <alignment horizontal="left" vertical="center" wrapText="1"/>
      <protection hidden="1"/>
    </xf>
    <xf numFmtId="0" fontId="12" fillId="4" borderId="11" xfId="0" applyFont="1" applyFill="1" applyBorder="1" applyAlignment="1" applyProtection="1">
      <alignment horizontal="left" vertical="center" wrapText="1"/>
      <protection hidden="1"/>
    </xf>
    <xf numFmtId="0" fontId="14" fillId="5" borderId="11" xfId="0" applyFont="1" applyFill="1" applyBorder="1" applyAlignment="1" applyProtection="1">
      <alignment horizontal="left" vertical="center" wrapText="1"/>
      <protection hidden="1"/>
    </xf>
    <xf numFmtId="0" fontId="14" fillId="3" borderId="11" xfId="0" applyFont="1" applyFill="1" applyBorder="1" applyAlignment="1" applyProtection="1">
      <alignment horizontal="center" vertical="center" wrapText="1"/>
      <protection hidden="1"/>
    </xf>
    <xf numFmtId="0" fontId="0" fillId="0" borderId="0" xfId="0" applyAlignment="1">
      <alignment horizontal="center" vertical="center"/>
    </xf>
    <xf numFmtId="0" fontId="5" fillId="0" borderId="0" xfId="0" applyFont="1" applyAlignment="1">
      <alignment vertical="center"/>
    </xf>
    <xf numFmtId="0" fontId="0" fillId="0" borderId="0" xfId="0" applyAlignment="1">
      <alignment vertical="top"/>
    </xf>
    <xf numFmtId="0" fontId="22" fillId="5" borderId="11" xfId="0" applyFont="1" applyFill="1" applyBorder="1" applyAlignment="1" applyProtection="1">
      <alignment horizontal="center" vertical="center" wrapText="1"/>
      <protection hidden="1"/>
    </xf>
    <xf numFmtId="0" fontId="22" fillId="3" borderId="11" xfId="0" applyFont="1" applyFill="1" applyBorder="1" applyAlignment="1" applyProtection="1">
      <alignment horizontal="center" vertical="center" wrapText="1"/>
      <protection hidden="1"/>
    </xf>
    <xf numFmtId="0" fontId="23" fillId="5" borderId="11" xfId="0" applyFont="1" applyFill="1" applyBorder="1" applyAlignment="1" applyProtection="1">
      <alignment horizontal="center" vertical="center" wrapText="1"/>
      <protection hidden="1"/>
    </xf>
    <xf numFmtId="0" fontId="23" fillId="3" borderId="11" xfId="0" applyFont="1" applyFill="1" applyBorder="1" applyAlignment="1" applyProtection="1">
      <alignment horizontal="center" vertical="center" wrapText="1"/>
      <protection hidden="1"/>
    </xf>
    <xf numFmtId="0" fontId="14" fillId="5" borderId="28"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0" fillId="0" borderId="11" xfId="0" applyBorder="1" applyProtection="1">
      <protection hidden="1"/>
    </xf>
    <xf numFmtId="0" fontId="15" fillId="6" borderId="0" xfId="0" applyFont="1" applyFill="1" applyProtection="1">
      <protection hidden="1"/>
    </xf>
    <xf numFmtId="0" fontId="10" fillId="7" borderId="22" xfId="0" applyFont="1" applyFill="1" applyBorder="1" applyAlignment="1" applyProtection="1">
      <alignment vertical="center"/>
      <protection locked="0"/>
    </xf>
    <xf numFmtId="0" fontId="10" fillId="7" borderId="23" xfId="0" applyFont="1" applyFill="1" applyBorder="1" applyAlignment="1" applyProtection="1">
      <alignment vertical="center" wrapText="1"/>
      <protection locked="0"/>
    </xf>
    <xf numFmtId="0" fontId="0" fillId="0" borderId="1" xfId="0" applyBorder="1" applyAlignment="1" applyProtection="1">
      <alignment horizontal="justify" vertical="center" wrapText="1"/>
      <protection hidden="1"/>
    </xf>
    <xf numFmtId="0" fontId="6" fillId="0" borderId="1" xfId="0" applyFont="1" applyBorder="1" applyAlignment="1" applyProtection="1">
      <alignment horizontal="justify" vertical="center" wrapText="1"/>
      <protection hidden="1"/>
    </xf>
    <xf numFmtId="0" fontId="35" fillId="0" borderId="0" xfId="0" applyFont="1" applyAlignment="1">
      <alignment horizontal="center" vertical="center"/>
    </xf>
    <xf numFmtId="0" fontId="36" fillId="0" borderId="0" xfId="0" applyFont="1" applyAlignment="1">
      <alignment horizontal="center" vertical="center"/>
    </xf>
    <xf numFmtId="0" fontId="37" fillId="0" borderId="0" xfId="0" applyFont="1" applyAlignment="1">
      <alignment horizontal="center" vertical="center"/>
    </xf>
    <xf numFmtId="0" fontId="0" fillId="7" borderId="0" xfId="0" applyFill="1"/>
    <xf numFmtId="0" fontId="30" fillId="7" borderId="0" xfId="0" applyFont="1" applyFill="1" applyAlignment="1" applyProtection="1">
      <alignment vertical="justify" wrapText="1"/>
      <protection hidden="1"/>
    </xf>
    <xf numFmtId="0" fontId="20" fillId="8" borderId="33" xfId="0" applyFont="1" applyFill="1" applyBorder="1" applyAlignment="1">
      <alignment horizontal="center" vertical="center" wrapText="1"/>
    </xf>
    <xf numFmtId="0" fontId="0" fillId="0" borderId="33" xfId="0" applyBorder="1" applyAlignment="1">
      <alignment horizontal="center"/>
    </xf>
    <xf numFmtId="165" fontId="0" fillId="0" borderId="33" xfId="0" applyNumberFormat="1" applyBorder="1" applyAlignment="1">
      <alignment horizontal="center"/>
    </xf>
    <xf numFmtId="166" fontId="0" fillId="0" borderId="33" xfId="0" applyNumberFormat="1" applyBorder="1" applyAlignment="1">
      <alignment horizontal="center"/>
    </xf>
    <xf numFmtId="0" fontId="0" fillId="0" borderId="10" xfId="0" applyBorder="1" applyAlignment="1">
      <alignment horizontal="center"/>
    </xf>
    <xf numFmtId="0" fontId="0" fillId="11" borderId="0" xfId="0" applyFill="1" applyAlignment="1">
      <alignment horizontal="center"/>
    </xf>
    <xf numFmtId="0" fontId="39" fillId="5" borderId="11" xfId="0" applyFont="1" applyFill="1" applyBorder="1" applyAlignment="1" applyProtection="1">
      <alignment horizontal="center" vertical="center" wrapText="1"/>
      <protection hidden="1"/>
    </xf>
    <xf numFmtId="0" fontId="39" fillId="3" borderId="11" xfId="0" applyFont="1" applyFill="1" applyBorder="1" applyAlignment="1" applyProtection="1">
      <alignment horizontal="center" vertical="center" wrapText="1"/>
      <protection hidden="1"/>
    </xf>
    <xf numFmtId="164" fontId="0" fillId="0" borderId="10" xfId="0" applyNumberFormat="1" applyBorder="1" applyAlignment="1">
      <alignment horizontal="center"/>
    </xf>
    <xf numFmtId="164" fontId="22" fillId="5" borderId="11" xfId="0" applyNumberFormat="1" applyFont="1" applyFill="1" applyBorder="1" applyAlignment="1" applyProtection="1">
      <alignment horizontal="center" vertical="center" wrapText="1"/>
      <protection hidden="1"/>
    </xf>
    <xf numFmtId="164" fontId="22" fillId="3" borderId="11" xfId="0" applyNumberFormat="1" applyFont="1" applyFill="1" applyBorder="1" applyAlignment="1" applyProtection="1">
      <alignment horizontal="center" vertical="center" wrapText="1"/>
      <protection hidden="1"/>
    </xf>
    <xf numFmtId="164" fontId="23" fillId="5" borderId="11" xfId="0" applyNumberFormat="1" applyFont="1" applyFill="1" applyBorder="1" applyAlignment="1" applyProtection="1">
      <alignment horizontal="center" vertical="center" wrapText="1"/>
      <protection hidden="1"/>
    </xf>
    <xf numFmtId="164" fontId="23" fillId="3" borderId="11" xfId="0" applyNumberFormat="1" applyFont="1" applyFill="1" applyBorder="1" applyAlignment="1" applyProtection="1">
      <alignment horizontal="center" vertical="center" wrapText="1"/>
      <protection hidden="1"/>
    </xf>
    <xf numFmtId="2" fontId="14" fillId="5" borderId="11" xfId="0" applyNumberFormat="1" applyFont="1" applyFill="1" applyBorder="1" applyAlignment="1" applyProtection="1">
      <alignment horizontal="center" vertical="center" wrapText="1"/>
      <protection hidden="1"/>
    </xf>
    <xf numFmtId="0" fontId="0" fillId="18" borderId="0" xfId="0" applyFill="1"/>
    <xf numFmtId="0" fontId="0" fillId="19" borderId="0" xfId="0" applyFill="1"/>
    <xf numFmtId="0" fontId="0" fillId="19" borderId="0" xfId="0" applyFill="1" applyProtection="1">
      <protection hidden="1"/>
    </xf>
    <xf numFmtId="0" fontId="15" fillId="18" borderId="0" xfId="0" applyFont="1" applyFill="1" applyProtection="1">
      <protection hidden="1"/>
    </xf>
    <xf numFmtId="0" fontId="17" fillId="18" borderId="0" xfId="0" applyFont="1" applyFill="1" applyProtection="1">
      <protection hidden="1"/>
    </xf>
    <xf numFmtId="0" fontId="16" fillId="18" borderId="0" xfId="0" applyFont="1" applyFill="1" applyProtection="1">
      <protection hidden="1"/>
    </xf>
    <xf numFmtId="0" fontId="18" fillId="18" borderId="0" xfId="0" applyFont="1" applyFill="1" applyAlignment="1" applyProtection="1">
      <alignment vertical="center"/>
      <protection hidden="1"/>
    </xf>
    <xf numFmtId="0" fontId="31" fillId="17" borderId="1" xfId="0" applyFont="1" applyFill="1" applyBorder="1" applyAlignment="1" applyProtection="1">
      <alignment horizontal="center" vertical="center" wrapText="1"/>
      <protection hidden="1"/>
    </xf>
    <xf numFmtId="0" fontId="0" fillId="18" borderId="0" xfId="0" applyFill="1" applyProtection="1">
      <protection hidden="1"/>
    </xf>
    <xf numFmtId="0" fontId="31" fillId="21" borderId="5" xfId="0" applyFont="1" applyFill="1" applyBorder="1" applyAlignment="1" applyProtection="1">
      <alignment horizontal="center" vertical="center" wrapText="1"/>
      <protection hidden="1"/>
    </xf>
    <xf numFmtId="0" fontId="10" fillId="21" borderId="0" xfId="0" applyFont="1" applyFill="1" applyProtection="1">
      <protection hidden="1"/>
    </xf>
    <xf numFmtId="0" fontId="11" fillId="21" borderId="0" xfId="0" applyFont="1" applyFill="1" applyAlignment="1" applyProtection="1">
      <alignment vertical="justify" wrapText="1"/>
      <protection hidden="1"/>
    </xf>
    <xf numFmtId="0" fontId="30" fillId="21" borderId="0" xfId="0" applyFont="1" applyFill="1" applyAlignment="1" applyProtection="1">
      <alignment vertical="justify" wrapText="1"/>
      <protection hidden="1"/>
    </xf>
    <xf numFmtId="0" fontId="0" fillId="21" borderId="0" xfId="0" applyFill="1" applyProtection="1">
      <protection hidden="1"/>
    </xf>
    <xf numFmtId="0" fontId="20" fillId="21" borderId="11" xfId="0" applyFont="1" applyFill="1" applyBorder="1" applyAlignment="1" applyProtection="1">
      <alignment horizontal="center" vertical="center" wrapText="1"/>
      <protection hidden="1"/>
    </xf>
    <xf numFmtId="0" fontId="0" fillId="20" borderId="1" xfId="0" applyFill="1" applyBorder="1" applyAlignment="1" applyProtection="1">
      <alignment horizontal="center"/>
      <protection locked="0"/>
    </xf>
    <xf numFmtId="3" fontId="0" fillId="20" borderId="1" xfId="0" applyNumberFormat="1" applyFill="1" applyBorder="1" applyAlignment="1" applyProtection="1">
      <alignment horizontal="center"/>
      <protection locked="0"/>
    </xf>
    <xf numFmtId="0" fontId="0" fillId="22" borderId="1" xfId="0" applyFill="1" applyBorder="1" applyAlignment="1" applyProtection="1">
      <alignment horizontal="center"/>
      <protection hidden="1"/>
    </xf>
    <xf numFmtId="0" fontId="41" fillId="18" borderId="0" xfId="0" applyFont="1" applyFill="1" applyProtection="1">
      <protection hidden="1"/>
    </xf>
    <xf numFmtId="0" fontId="9" fillId="18" borderId="0" xfId="0" applyFont="1" applyFill="1" applyAlignment="1" applyProtection="1">
      <alignment horizontal="center" vertical="center"/>
      <protection hidden="1"/>
    </xf>
    <xf numFmtId="0" fontId="19" fillId="18" borderId="0" xfId="0" applyFont="1" applyFill="1" applyAlignment="1" applyProtection="1">
      <alignment horizontal="center" vertical="center" wrapText="1"/>
      <protection hidden="1"/>
    </xf>
    <xf numFmtId="0" fontId="14" fillId="18" borderId="0" xfId="0" applyFont="1" applyFill="1" applyAlignment="1" applyProtection="1">
      <alignment horizontal="center" vertical="center" wrapText="1"/>
      <protection hidden="1"/>
    </xf>
    <xf numFmtId="0" fontId="12" fillId="18" borderId="0" xfId="0" applyFont="1" applyFill="1" applyAlignment="1" applyProtection="1">
      <alignment horizontal="center" vertical="center" wrapText="1"/>
      <protection hidden="1"/>
    </xf>
    <xf numFmtId="0" fontId="33" fillId="17" borderId="1" xfId="0" applyFont="1" applyFill="1" applyBorder="1" applyAlignment="1" applyProtection="1">
      <alignment horizontal="center" vertical="center" wrapText="1"/>
      <protection hidden="1"/>
    </xf>
    <xf numFmtId="0" fontId="9" fillId="23" borderId="1" xfId="0" applyFont="1" applyFill="1" applyBorder="1" applyAlignment="1" applyProtection="1">
      <alignment horizontal="center" vertical="center"/>
      <protection locked="0"/>
    </xf>
    <xf numFmtId="0" fontId="15" fillId="19" borderId="0" xfId="0" applyFont="1" applyFill="1" applyProtection="1">
      <protection hidden="1"/>
    </xf>
    <xf numFmtId="0" fontId="48" fillId="3" borderId="27" xfId="0" applyFont="1" applyFill="1" applyBorder="1" applyAlignment="1">
      <alignment horizontal="left" vertical="center" wrapText="1"/>
    </xf>
    <xf numFmtId="0" fontId="12" fillId="4" borderId="13" xfId="0" applyFont="1" applyFill="1" applyBorder="1" applyAlignment="1">
      <alignment horizontal="left" vertical="center" wrapText="1"/>
    </xf>
    <xf numFmtId="0" fontId="34" fillId="0" borderId="0" xfId="0" applyFont="1" applyAlignment="1">
      <alignment horizontal="left" vertical="center"/>
    </xf>
    <xf numFmtId="0" fontId="10" fillId="7" borderId="23" xfId="0" applyFont="1" applyFill="1" applyBorder="1" applyAlignment="1" applyProtection="1">
      <alignment horizontal="left" vertical="center" wrapText="1"/>
      <protection locked="0"/>
    </xf>
    <xf numFmtId="0" fontId="0" fillId="25" borderId="0" xfId="0" applyFill="1" applyAlignment="1">
      <alignment vertical="top"/>
    </xf>
    <xf numFmtId="0" fontId="0" fillId="25" borderId="0" xfId="0" applyFill="1"/>
    <xf numFmtId="0" fontId="5" fillId="25" borderId="0" xfId="0" applyFont="1" applyFill="1" applyAlignment="1">
      <alignment vertical="center"/>
    </xf>
    <xf numFmtId="0" fontId="17" fillId="25" borderId="0" xfId="0" applyFont="1" applyFill="1" applyProtection="1">
      <protection hidden="1"/>
    </xf>
    <xf numFmtId="0" fontId="18" fillId="25" borderId="0" xfId="0" applyFont="1" applyFill="1" applyAlignment="1" applyProtection="1">
      <alignment vertical="center"/>
      <protection hidden="1"/>
    </xf>
    <xf numFmtId="0" fontId="4" fillId="25" borderId="0" xfId="0" applyFont="1" applyFill="1"/>
    <xf numFmtId="0" fontId="0" fillId="25" borderId="0" xfId="0" applyFill="1" applyAlignment="1">
      <alignment horizontal="center"/>
    </xf>
    <xf numFmtId="0" fontId="0" fillId="24" borderId="0" xfId="0" applyFill="1"/>
    <xf numFmtId="0" fontId="5" fillId="25" borderId="0" xfId="0" applyFont="1" applyFill="1" applyAlignment="1">
      <alignment horizontal="center"/>
    </xf>
    <xf numFmtId="0" fontId="5" fillId="25" borderId="0" xfId="0" applyFont="1" applyFill="1"/>
    <xf numFmtId="0" fontId="20" fillId="19" borderId="11" xfId="0" applyFont="1" applyFill="1" applyBorder="1" applyAlignment="1" applyProtection="1">
      <alignment horizontal="center" vertical="center" wrapText="1"/>
      <protection hidden="1"/>
    </xf>
    <xf numFmtId="0" fontId="27" fillId="19" borderId="11" xfId="0" applyFont="1" applyFill="1" applyBorder="1" applyAlignment="1" applyProtection="1">
      <alignment horizontal="center" vertical="center" wrapText="1"/>
      <protection hidden="1"/>
    </xf>
    <xf numFmtId="0" fontId="0" fillId="19" borderId="11" xfId="0" applyFill="1" applyBorder="1" applyProtection="1">
      <protection hidden="1"/>
    </xf>
    <xf numFmtId="0" fontId="31" fillId="19" borderId="11" xfId="0" applyFont="1" applyFill="1" applyBorder="1" applyAlignment="1" applyProtection="1">
      <alignment horizontal="left" vertical="center" wrapText="1"/>
      <protection hidden="1"/>
    </xf>
    <xf numFmtId="2" fontId="31" fillId="19" borderId="11" xfId="0" applyNumberFormat="1" applyFont="1" applyFill="1" applyBorder="1" applyAlignment="1" applyProtection="1">
      <alignment horizontal="center" vertical="center" wrapText="1"/>
      <protection hidden="1"/>
    </xf>
    <xf numFmtId="0" fontId="42" fillId="26" borderId="0" xfId="0" applyFont="1" applyFill="1" applyAlignment="1">
      <alignment horizontal="justify" vertical="center"/>
    </xf>
    <xf numFmtId="0" fontId="21" fillId="16" borderId="34" xfId="0" applyFont="1" applyFill="1" applyBorder="1" applyAlignment="1" applyProtection="1">
      <alignment horizontal="center" vertical="center" wrapText="1"/>
      <protection locked="0"/>
    </xf>
    <xf numFmtId="0" fontId="21" fillId="7" borderId="23" xfId="0" applyFont="1" applyFill="1" applyBorder="1" applyAlignment="1" applyProtection="1">
      <alignment horizontal="center" vertical="center" wrapText="1"/>
      <protection locked="0"/>
    </xf>
    <xf numFmtId="0" fontId="21" fillId="7" borderId="29" xfId="0" applyFont="1" applyFill="1" applyBorder="1" applyAlignment="1" applyProtection="1">
      <alignment horizontal="center" vertical="center" wrapText="1"/>
      <protection locked="0"/>
    </xf>
    <xf numFmtId="0" fontId="21" fillId="7" borderId="35" xfId="0" applyFont="1" applyFill="1" applyBorder="1" applyAlignment="1" applyProtection="1">
      <alignment horizontal="center" vertical="center" wrapText="1"/>
      <protection locked="0"/>
    </xf>
    <xf numFmtId="0" fontId="21" fillId="7" borderId="30" xfId="0" applyFont="1" applyFill="1" applyBorder="1" applyAlignment="1" applyProtection="1">
      <alignment horizontal="center" vertical="center" wrapText="1"/>
      <protection locked="0"/>
    </xf>
    <xf numFmtId="0" fontId="21" fillId="7" borderId="24" xfId="0" applyFont="1" applyFill="1" applyBorder="1" applyAlignment="1" applyProtection="1">
      <alignment horizontal="center" vertical="center" wrapText="1"/>
      <protection locked="0"/>
    </xf>
    <xf numFmtId="0" fontId="21" fillId="7" borderId="7" xfId="0" applyFont="1" applyFill="1" applyBorder="1" applyAlignment="1" applyProtection="1">
      <alignment horizontal="center" vertical="center" wrapText="1"/>
      <protection locked="0"/>
    </xf>
    <xf numFmtId="0" fontId="38" fillId="9" borderId="10" xfId="0" applyFont="1" applyFill="1" applyBorder="1" applyAlignment="1" applyProtection="1">
      <alignment horizontal="center" vertical="center" wrapText="1"/>
      <protection locked="0"/>
    </xf>
    <xf numFmtId="0" fontId="21" fillId="10" borderId="10" xfId="0" applyFont="1" applyFill="1" applyBorder="1" applyAlignment="1" applyProtection="1">
      <alignment horizontal="center" vertical="center" wrapText="1"/>
      <protection locked="0"/>
    </xf>
    <xf numFmtId="0" fontId="38" fillId="14" borderId="10" xfId="0" applyFont="1" applyFill="1" applyBorder="1" applyAlignment="1" applyProtection="1">
      <alignment horizontal="center" vertical="center" wrapText="1"/>
      <protection locked="0"/>
    </xf>
    <xf numFmtId="0" fontId="21" fillId="15" borderId="10" xfId="0" applyFont="1" applyFill="1" applyBorder="1" applyAlignment="1" applyProtection="1">
      <alignment horizontal="center" vertical="center" wrapText="1"/>
      <protection locked="0"/>
    </xf>
    <xf numFmtId="0" fontId="38" fillId="12" borderId="10" xfId="0" applyFont="1" applyFill="1" applyBorder="1" applyAlignment="1" applyProtection="1">
      <alignment horizontal="center" vertical="center" wrapText="1"/>
      <protection locked="0"/>
    </xf>
    <xf numFmtId="0" fontId="38" fillId="12" borderId="6" xfId="0" applyFont="1" applyFill="1" applyBorder="1" applyAlignment="1" applyProtection="1">
      <alignment horizontal="center" vertical="center" wrapText="1"/>
      <protection locked="0"/>
    </xf>
    <xf numFmtId="0" fontId="21" fillId="13" borderId="10" xfId="0" applyFont="1" applyFill="1" applyBorder="1" applyAlignment="1" applyProtection="1">
      <alignment horizontal="center" vertical="center" wrapText="1"/>
      <protection locked="0"/>
    </xf>
    <xf numFmtId="0" fontId="0" fillId="24" borderId="0" xfId="0" applyFill="1" applyAlignment="1">
      <alignment wrapText="1"/>
    </xf>
    <xf numFmtId="0" fontId="0" fillId="25" borderId="0" xfId="0" applyFill="1" applyAlignment="1">
      <alignment vertical="top" wrapText="1"/>
    </xf>
    <xf numFmtId="0" fontId="0" fillId="25" borderId="0" xfId="0" applyFill="1" applyAlignment="1">
      <alignment wrapText="1"/>
    </xf>
    <xf numFmtId="0" fontId="0" fillId="0" borderId="6" xfId="0" applyBorder="1" applyAlignment="1">
      <alignment vertical="center"/>
    </xf>
    <xf numFmtId="0" fontId="0" fillId="0" borderId="0" xfId="0" applyAlignment="1">
      <alignment vertical="center" wrapText="1"/>
    </xf>
    <xf numFmtId="0" fontId="5" fillId="0" borderId="0" xfId="0" applyFont="1" applyAlignment="1">
      <alignment horizontal="justify" vertical="center"/>
    </xf>
    <xf numFmtId="0" fontId="5" fillId="0" borderId="0" xfId="0" applyFont="1" applyAlignment="1">
      <alignment horizontal="justify" vertical="center" wrapText="1"/>
    </xf>
    <xf numFmtId="0" fontId="0" fillId="0" borderId="6" xfId="0" applyBorder="1" applyAlignment="1">
      <alignment horizontal="center" vertical="center"/>
    </xf>
    <xf numFmtId="0" fontId="6" fillId="0" borderId="0" xfId="0" applyFont="1" applyAlignment="1">
      <alignment horizontal="center" vertical="center"/>
    </xf>
    <xf numFmtId="0" fontId="0" fillId="0" borderId="0" xfId="0" applyAlignment="1">
      <alignment vertical="center"/>
    </xf>
    <xf numFmtId="0" fontId="0" fillId="0" borderId="0" xfId="0" applyAlignment="1" applyProtection="1">
      <alignment horizontal="center" vertical="center"/>
      <protection hidden="1"/>
    </xf>
    <xf numFmtId="0" fontId="8" fillId="0" borderId="0" xfId="0" applyFont="1" applyAlignment="1">
      <alignment horizontal="center" vertical="center"/>
    </xf>
    <xf numFmtId="0" fontId="0" fillId="0" borderId="7" xfId="0" applyBorder="1" applyAlignment="1">
      <alignment horizontal="center" vertical="center"/>
    </xf>
    <xf numFmtId="0" fontId="5" fillId="0" borderId="0" xfId="0" applyFont="1" applyAlignment="1">
      <alignment vertical="center" wrapText="1"/>
    </xf>
    <xf numFmtId="0" fontId="49" fillId="18" borderId="0" xfId="0" applyFont="1" applyFill="1" applyAlignment="1">
      <alignment horizontal="left" vertical="center" wrapText="1"/>
    </xf>
    <xf numFmtId="0" fontId="42" fillId="18" borderId="0" xfId="0" applyFont="1" applyFill="1" applyAlignment="1">
      <alignment horizontal="justify" vertical="center" wrapText="1"/>
    </xf>
    <xf numFmtId="0" fontId="42" fillId="18" borderId="0" xfId="0" applyFont="1" applyFill="1" applyAlignment="1">
      <alignment horizontal="justify" vertical="center"/>
    </xf>
    <xf numFmtId="0" fontId="3" fillId="19" borderId="0" xfId="2" applyFont="1" applyFill="1" applyAlignment="1" applyProtection="1">
      <alignment horizontal="center"/>
      <protection locked="0" hidden="1"/>
    </xf>
    <xf numFmtId="0" fontId="10" fillId="19" borderId="0" xfId="2" applyFont="1" applyFill="1" applyAlignment="1" applyProtection="1">
      <alignment horizontal="left" vertical="top" wrapText="1"/>
      <protection locked="0" hidden="1"/>
    </xf>
    <xf numFmtId="0" fontId="3" fillId="24" borderId="0" xfId="2" applyFont="1" applyFill="1" applyAlignment="1" applyProtection="1">
      <alignment horizontal="center"/>
      <protection locked="0" hidden="1"/>
    </xf>
    <xf numFmtId="0" fontId="10" fillId="24" borderId="0" xfId="2" applyFont="1" applyFill="1" applyAlignment="1" applyProtection="1">
      <alignment horizontal="left" vertical="top" wrapText="1"/>
      <protection locked="0" hidden="1"/>
    </xf>
    <xf numFmtId="0" fontId="1" fillId="19" borderId="0" xfId="0" applyFont="1" applyFill="1" applyAlignment="1" applyProtection="1">
      <alignment horizontal="left" vertical="top" wrapText="1"/>
      <protection locked="0" hidden="1"/>
    </xf>
    <xf numFmtId="0" fontId="3" fillId="17" borderId="0" xfId="2" applyFont="1" applyFill="1" applyAlignment="1" applyProtection="1">
      <alignment horizontal="center"/>
      <protection locked="0" hidden="1"/>
    </xf>
    <xf numFmtId="0" fontId="1" fillId="17" borderId="0" xfId="2" applyFont="1" applyFill="1" applyAlignment="1" applyProtection="1">
      <alignment horizontal="left" vertical="top" wrapText="1"/>
      <protection locked="0" hidden="1"/>
    </xf>
    <xf numFmtId="0" fontId="11" fillId="21" borderId="0" xfId="0" applyFont="1" applyFill="1" applyAlignment="1" applyProtection="1">
      <alignment horizontal="center" vertical="center" wrapText="1"/>
      <protection locked="0" hidden="1"/>
    </xf>
    <xf numFmtId="0" fontId="12" fillId="23" borderId="3" xfId="0" applyFont="1" applyFill="1" applyBorder="1" applyAlignment="1" applyProtection="1">
      <alignment horizontal="left" vertical="center" wrapText="1"/>
      <protection hidden="1"/>
    </xf>
    <xf numFmtId="0" fontId="12" fillId="23" borderId="5" xfId="0" applyFont="1" applyFill="1" applyBorder="1" applyAlignment="1" applyProtection="1">
      <alignment horizontal="left" vertical="center" wrapText="1"/>
      <protection hidden="1"/>
    </xf>
    <xf numFmtId="0" fontId="31" fillId="21" borderId="1" xfId="0" applyFont="1" applyFill="1" applyBorder="1" applyAlignment="1" applyProtection="1">
      <alignment horizontal="center" vertical="center" wrapText="1"/>
      <protection hidden="1"/>
    </xf>
    <xf numFmtId="0" fontId="30" fillId="21" borderId="0" xfId="0" applyFont="1" applyFill="1" applyAlignment="1" applyProtection="1">
      <alignment horizontal="center" vertical="justify" wrapText="1"/>
      <protection hidden="1"/>
    </xf>
    <xf numFmtId="0" fontId="31" fillId="17" borderId="3" xfId="0" applyFont="1" applyFill="1" applyBorder="1" applyAlignment="1" applyProtection="1">
      <alignment horizontal="center" vertical="center" wrapText="1"/>
      <protection hidden="1"/>
    </xf>
    <xf numFmtId="0" fontId="31" fillId="17" borderId="5" xfId="0" applyFont="1" applyFill="1" applyBorder="1" applyAlignment="1" applyProtection="1">
      <alignment horizontal="center" vertical="center" wrapText="1"/>
      <protection hidden="1"/>
    </xf>
    <xf numFmtId="0" fontId="14" fillId="23" borderId="13" xfId="0" applyFont="1" applyFill="1" applyBorder="1" applyAlignment="1" applyProtection="1">
      <alignment horizontal="justify" vertical="center" wrapText="1"/>
      <protection hidden="1"/>
    </xf>
    <xf numFmtId="0" fontId="14" fillId="23" borderId="14" xfId="0" applyFont="1" applyFill="1" applyBorder="1" applyAlignment="1" applyProtection="1">
      <alignment horizontal="justify" vertical="center" wrapText="1"/>
      <protection hidden="1"/>
    </xf>
    <xf numFmtId="0" fontId="14" fillId="23" borderId="15" xfId="0" applyFont="1" applyFill="1" applyBorder="1" applyAlignment="1" applyProtection="1">
      <alignment horizontal="justify" vertical="center" wrapText="1"/>
      <protection hidden="1"/>
    </xf>
    <xf numFmtId="0" fontId="14" fillId="23" borderId="16" xfId="0" applyFont="1" applyFill="1" applyBorder="1" applyAlignment="1" applyProtection="1">
      <alignment horizontal="justify" vertical="center" wrapText="1"/>
      <protection hidden="1"/>
    </xf>
    <xf numFmtId="0" fontId="14" fillId="23" borderId="17" xfId="0" applyFont="1" applyFill="1" applyBorder="1" applyAlignment="1" applyProtection="1">
      <alignment horizontal="justify" vertical="center" wrapText="1"/>
      <protection hidden="1"/>
    </xf>
    <xf numFmtId="0" fontId="14" fillId="23" borderId="18" xfId="0" applyFont="1" applyFill="1" applyBorder="1" applyAlignment="1" applyProtection="1">
      <alignment horizontal="justify" vertical="center" wrapText="1"/>
      <protection hidden="1"/>
    </xf>
    <xf numFmtId="0" fontId="13" fillId="23" borderId="11" xfId="0" applyFont="1" applyFill="1" applyBorder="1" applyAlignment="1" applyProtection="1">
      <alignment horizontal="center" vertical="center" wrapText="1"/>
      <protection hidden="1"/>
    </xf>
    <xf numFmtId="0" fontId="0" fillId="23" borderId="11" xfId="0" applyFill="1" applyBorder="1" applyAlignment="1" applyProtection="1">
      <alignment horizontal="center"/>
      <protection hidden="1"/>
    </xf>
    <xf numFmtId="0" fontId="31" fillId="21" borderId="3" xfId="0" applyFont="1" applyFill="1" applyBorder="1" applyAlignment="1" applyProtection="1">
      <alignment horizontal="center" vertical="center" wrapText="1"/>
      <protection hidden="1"/>
    </xf>
    <xf numFmtId="0" fontId="31" fillId="21" borderId="4" xfId="0" applyFont="1" applyFill="1" applyBorder="1" applyAlignment="1" applyProtection="1">
      <alignment horizontal="center" vertical="center" wrapText="1"/>
      <protection hidden="1"/>
    </xf>
    <xf numFmtId="0" fontId="31" fillId="21" borderId="5" xfId="0" applyFont="1" applyFill="1" applyBorder="1" applyAlignment="1" applyProtection="1">
      <alignment horizontal="center" vertical="center" wrapText="1"/>
      <protection hidden="1"/>
    </xf>
    <xf numFmtId="0" fontId="29" fillId="23" borderId="31" xfId="0" applyFont="1" applyFill="1" applyBorder="1" applyAlignment="1" applyProtection="1">
      <alignment horizontal="center" vertical="center"/>
      <protection hidden="1"/>
    </xf>
    <xf numFmtId="0" fontId="29" fillId="23" borderId="32" xfId="0" applyFont="1" applyFill="1" applyBorder="1" applyAlignment="1" applyProtection="1">
      <alignment horizontal="center" vertical="center"/>
      <protection hidden="1"/>
    </xf>
    <xf numFmtId="0" fontId="30" fillId="21" borderId="9" xfId="0" applyFont="1" applyFill="1" applyBorder="1" applyAlignment="1" applyProtection="1">
      <alignment horizontal="center" vertical="center" wrapText="1"/>
      <protection hidden="1"/>
    </xf>
    <xf numFmtId="0" fontId="30" fillId="21" borderId="19" xfId="0" applyFont="1" applyFill="1" applyBorder="1" applyAlignment="1" applyProtection="1">
      <alignment horizontal="center" vertical="center" wrapText="1"/>
      <protection hidden="1"/>
    </xf>
    <xf numFmtId="0" fontId="30" fillId="21" borderId="20" xfId="0" applyFont="1" applyFill="1" applyBorder="1" applyAlignment="1" applyProtection="1">
      <alignment horizontal="center" vertical="center" wrapText="1"/>
      <protection hidden="1"/>
    </xf>
    <xf numFmtId="0" fontId="32" fillId="21" borderId="12" xfId="0" applyFont="1" applyFill="1" applyBorder="1" applyAlignment="1" applyProtection="1">
      <alignment horizontal="center" vertical="center" wrapText="1"/>
      <protection hidden="1"/>
    </xf>
    <xf numFmtId="0" fontId="32" fillId="21" borderId="2" xfId="0" applyFont="1" applyFill="1" applyBorder="1" applyAlignment="1" applyProtection="1">
      <alignment horizontal="center" vertical="center" wrapText="1"/>
      <protection hidden="1"/>
    </xf>
    <xf numFmtId="0" fontId="32" fillId="21" borderId="8" xfId="0" applyFont="1" applyFill="1" applyBorder="1" applyAlignment="1" applyProtection="1">
      <alignment horizontal="center" vertical="center" wrapText="1"/>
      <protection hidden="1"/>
    </xf>
    <xf numFmtId="0" fontId="25" fillId="21" borderId="27" xfId="0" applyFont="1" applyFill="1" applyBorder="1" applyAlignment="1" applyProtection="1">
      <alignment horizontal="center" vertical="center"/>
      <protection hidden="1"/>
    </xf>
    <xf numFmtId="0" fontId="25" fillId="21" borderId="25" xfId="0" applyFont="1" applyFill="1" applyBorder="1" applyAlignment="1" applyProtection="1">
      <alignment horizontal="center" vertical="center"/>
      <protection hidden="1"/>
    </xf>
    <xf numFmtId="0" fontId="25" fillId="21" borderId="26" xfId="0" applyFont="1" applyFill="1" applyBorder="1" applyAlignment="1" applyProtection="1">
      <alignment horizontal="center" vertical="center"/>
      <protection hidden="1"/>
    </xf>
    <xf numFmtId="0" fontId="26" fillId="18" borderId="21" xfId="0" applyFont="1" applyFill="1" applyBorder="1" applyAlignment="1" applyProtection="1">
      <alignment horizontal="center" vertical="center"/>
      <protection hidden="1"/>
    </xf>
    <xf numFmtId="0" fontId="30" fillId="7" borderId="0" xfId="0" applyFont="1" applyFill="1" applyAlignment="1" applyProtection="1">
      <alignment horizontal="center" vertical="justify" wrapText="1"/>
      <protection hidden="1"/>
    </xf>
    <xf numFmtId="0" fontId="0" fillId="26" borderId="0" xfId="0" applyFill="1" applyAlignment="1"/>
  </cellXfs>
  <cellStyles count="3">
    <cellStyle name="Hipervínculo" xfId="2" builtinId="8"/>
    <cellStyle name="Normal" xfId="0" builtinId="0"/>
    <cellStyle name="Normal 2" xfId="1" xr:uid="{DA719E05-30F2-450E-AD3B-346079F1923E}"/>
  </cellStyles>
  <dxfs count="72">
    <dxf>
      <numFmt numFmtId="164" formatCode="0.0"/>
      <alignment horizontal="center" vertical="bottom" textRotation="0" wrapText="0" indent="0" justifyLastLine="0" shrinkToFit="0" readingOrder="0"/>
      <border diagonalUp="0" diagonalDown="0">
        <left style="thin">
          <color auto="1"/>
        </left>
        <right style="thin">
          <color auto="1"/>
        </right>
        <top/>
        <bottom/>
      </border>
    </dxf>
    <dxf>
      <numFmt numFmtId="0" formatCode="General"/>
      <alignment horizontal="center" vertical="bottom" textRotation="0" wrapText="0" indent="0" justifyLastLine="0" shrinkToFit="0" readingOrder="0"/>
      <border outline="0">
        <right style="thin">
          <color auto="1"/>
        </right>
      </border>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left style="thin">
          <color auto="1"/>
        </left>
        <right style="thin">
          <color auto="1"/>
        </right>
        <top/>
        <bottom/>
        <vertical/>
        <horizontal/>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center" textRotation="0" wrapText="0" indent="0" justifyLastLine="0" shrinkToFit="0" readingOrder="0"/>
      <border diagonalUp="0" diagonalDown="0" outline="0">
        <left/>
        <right style="thin">
          <color indexed="64"/>
        </right>
        <top/>
        <bottom/>
      </border>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0" formatCode="General"/>
      <alignment horizontal="center" vertical="center" textRotation="0" wrapText="0" indent="0" justifyLastLine="0" shrinkToFit="0" readingOrder="0"/>
    </dxf>
    <dxf>
      <font>
        <strike val="0"/>
        <outline val="0"/>
        <shadow val="0"/>
        <u val="none"/>
        <vertAlign val="baseline"/>
        <sz val="26"/>
        <name val="Aptos Narrow"/>
        <family val="2"/>
        <scheme val="minor"/>
      </font>
      <numFmt numFmtId="0" formatCode="General"/>
      <alignment horizontal="left" vertical="center" textRotation="0" wrapText="0" indent="0" justifyLastLine="0" shrinkToFit="0" readingOrder="0"/>
    </dxf>
    <dxf>
      <font>
        <strike val="0"/>
        <outline val="0"/>
        <shadow val="0"/>
        <u val="none"/>
        <vertAlign val="baseline"/>
        <sz val="26"/>
        <name val="Aptos Narrow"/>
        <family val="2"/>
        <scheme val="minor"/>
      </font>
      <numFmt numFmtId="0" formatCode="General"/>
      <alignment horizontal="center" vertical="center" textRotation="0" wrapText="0" indent="0" justifyLastLine="0" shrinkToFit="0" readingOrder="0"/>
    </dxf>
    <dxf>
      <font>
        <strike val="0"/>
        <outline val="0"/>
        <shadow val="0"/>
        <u val="none"/>
        <vertAlign val="baseline"/>
        <sz val="26"/>
        <name val="Aptos Narrow"/>
        <family val="2"/>
        <scheme val="minor"/>
      </font>
      <numFmt numFmtId="0" formatCode="General"/>
      <alignment horizontal="center" vertical="center" textRotation="0" wrapText="0" indent="0" justifyLastLine="0" shrinkToFit="0" readingOrder="0"/>
    </dxf>
    <dxf>
      <font>
        <strike val="0"/>
        <outline val="0"/>
        <shadow val="0"/>
        <u val="none"/>
        <vertAlign val="baseline"/>
        <sz val="26"/>
        <name val="Aptos Narrow"/>
        <family val="2"/>
        <scheme val="minor"/>
      </font>
      <numFmt numFmtId="0" formatCode="General"/>
      <alignment horizontal="center" vertical="center" textRotation="0" wrapText="0" indent="0" justifyLastLine="0" shrinkToFit="0" readingOrder="0"/>
    </dxf>
    <dxf>
      <alignment vertical="center" textRotation="0" indent="0" justifyLastLine="0" shrinkToFit="0" readingOrder="0"/>
    </dxf>
    <dxf>
      <font>
        <strike val="0"/>
        <outline val="0"/>
        <shadow val="0"/>
        <u val="none"/>
        <vertAlign val="baseline"/>
        <sz val="11"/>
        <color auto="1"/>
        <name val="Aptos Narrow"/>
        <family val="2"/>
        <scheme val="minor"/>
      </font>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font>
        <b/>
        <i val="0"/>
        <strike val="0"/>
        <condense val="0"/>
        <extend val="0"/>
        <outline val="0"/>
        <shadow val="0"/>
        <u val="none"/>
        <vertAlign val="baseline"/>
        <sz val="12"/>
        <color theme="1"/>
        <name val="Aptos Narrow"/>
        <family val="2"/>
        <scheme val="minor"/>
      </font>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dxf>
    <dxf>
      <alignment vertical="center" textRotation="0" indent="0" justifyLastLine="0" shrinkToFit="0" readingOrder="0"/>
      <border diagonalUp="0" diagonalDown="0" outline="0">
        <left style="thin">
          <color indexed="64"/>
        </left>
        <top/>
        <bottom/>
      </border>
    </dxf>
    <dxf>
      <numFmt numFmtId="0" formatCode="General"/>
      <alignment horizontal="center" vertical="bottom" textRotation="0" wrapText="0" indent="0" justifyLastLine="0" shrinkToFit="0" readingOrder="0"/>
      <border diagonalUp="0" diagonalDown="0">
        <left style="thin">
          <color auto="1"/>
        </left>
        <right style="thin">
          <color auto="1"/>
        </right>
        <top/>
        <bottom/>
        <vertical/>
        <horizontal/>
      </border>
    </dxf>
    <dxf>
      <alignment horizontal="center" vertical="bottom" textRotation="0" wrapText="0" indent="0" justifyLastLine="0" shrinkToFit="0" readingOrder="0"/>
    </dxf>
    <dxf>
      <font>
        <b val="0"/>
        <i val="0"/>
        <strike val="0"/>
        <condense val="0"/>
        <extend val="0"/>
        <outline val="0"/>
        <shadow val="0"/>
        <u val="none"/>
        <vertAlign val="baseline"/>
        <sz val="11"/>
        <color theme="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border>
      <protection locked="0" hidden="0"/>
    </dxf>
    <dxf>
      <font>
        <color rgb="FF9C0006"/>
      </font>
      <fill>
        <patternFill>
          <bgColor rgb="FFFFC7CE"/>
        </patternFill>
      </fill>
    </dxf>
    <dxf>
      <font>
        <color rgb="FF006100"/>
      </font>
      <fill>
        <patternFill>
          <bgColor rgb="FFC6EFCE"/>
        </patternFill>
      </fill>
    </dxf>
    <dxf>
      <font>
        <color theme="2" tint="-0.499984740745262"/>
      </font>
    </dxf>
    <dxf>
      <font>
        <color rgb="FF9C0006"/>
      </font>
      <fill>
        <patternFill>
          <bgColor rgb="FFFFC7CE"/>
        </patternFill>
      </fill>
    </dxf>
  </dxfs>
  <tableStyles count="0" defaultTableStyle="TableStyleMedium2" defaultPivotStyle="PivotStyleLight16"/>
  <colors>
    <mruColors>
      <color rgb="FFC0620C"/>
      <color rgb="FF1C4976"/>
      <color rgb="FFEFF5FB"/>
      <color rgb="FF002142"/>
      <color rgb="FFFEF8E6"/>
      <color rgb="FF3E6C99"/>
      <color rgb="FFF28A2E"/>
      <color rgb="FFFBC880"/>
      <color rgb="FF492E03"/>
      <color rgb="FFC47C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2.xml"/><Relationship Id="rId13" Type="http://schemas.microsoft.com/office/2007/relationships/slicerCache" Target="slicerCaches/slicerCache7.xml"/><Relationship Id="rId18" Type="http://schemas.microsoft.com/office/2007/relationships/slicerCache" Target="slicerCaches/slicerCache12.xml"/><Relationship Id="rId26" Type="http://schemas.openxmlformats.org/officeDocument/2006/relationships/calcChain" Target="calcChain.xml"/><Relationship Id="rId3" Type="http://schemas.openxmlformats.org/officeDocument/2006/relationships/worksheet" Target="worksheets/sheet3.xml"/><Relationship Id="rId21" Type="http://schemas.microsoft.com/office/2007/relationships/slicerCache" Target="slicerCaches/slicerCache15.xml"/><Relationship Id="rId7" Type="http://schemas.microsoft.com/office/2007/relationships/slicerCache" Target="slicerCaches/slicerCache1.xml"/><Relationship Id="rId12" Type="http://schemas.microsoft.com/office/2007/relationships/slicerCache" Target="slicerCaches/slicerCache6.xml"/><Relationship Id="rId17" Type="http://schemas.microsoft.com/office/2007/relationships/slicerCache" Target="slicerCaches/slicerCache11.xml"/><Relationship Id="rId25" Type="http://schemas.openxmlformats.org/officeDocument/2006/relationships/sheetMetadata" Target="metadata.xml"/><Relationship Id="rId2" Type="http://schemas.openxmlformats.org/officeDocument/2006/relationships/worksheet" Target="worksheets/sheet2.xml"/><Relationship Id="rId16" Type="http://schemas.microsoft.com/office/2007/relationships/slicerCache" Target="slicerCaches/slicerCache10.xml"/><Relationship Id="rId20" Type="http://schemas.microsoft.com/office/2007/relationships/slicerCache" Target="slicerCaches/slicerCache1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07/relationships/slicerCache" Target="slicerCaches/slicerCache5.xml"/><Relationship Id="rId24" Type="http://schemas.openxmlformats.org/officeDocument/2006/relationships/sharedStrings" Target="sharedStrings.xml"/><Relationship Id="rId5" Type="http://schemas.openxmlformats.org/officeDocument/2006/relationships/worksheet" Target="worksheets/sheet5.xml"/><Relationship Id="rId15" Type="http://schemas.microsoft.com/office/2007/relationships/slicerCache" Target="slicerCaches/slicerCache9.xml"/><Relationship Id="rId23" Type="http://schemas.openxmlformats.org/officeDocument/2006/relationships/styles" Target="styles.xml"/><Relationship Id="rId10" Type="http://schemas.microsoft.com/office/2007/relationships/slicerCache" Target="slicerCaches/slicerCache4.xml"/><Relationship Id="rId19" Type="http://schemas.microsoft.com/office/2007/relationships/slicerCache" Target="slicerCaches/slicerCache13.xml"/><Relationship Id="rId4" Type="http://schemas.openxmlformats.org/officeDocument/2006/relationships/worksheet" Target="worksheets/sheet4.xml"/><Relationship Id="rId9" Type="http://schemas.microsoft.com/office/2007/relationships/slicerCache" Target="slicerCaches/slicerCache3.xml"/><Relationship Id="rId14" Type="http://schemas.microsoft.com/office/2007/relationships/slicerCache" Target="slicerCaches/slicerCache8.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847953216374272E-2"/>
          <c:y val="0"/>
          <c:w val="0.91830409356725151"/>
          <c:h val="1"/>
        </c:manualLayout>
      </c:layout>
      <c:barChart>
        <c:barDir val="bar"/>
        <c:grouping val="clustered"/>
        <c:varyColors val="0"/>
        <c:ser>
          <c:idx val="0"/>
          <c:order val="0"/>
          <c:spPr>
            <a:solidFill>
              <a:srgbClr val="0E4194"/>
            </a:solidFill>
            <a:ln>
              <a:prstDash val="solid"/>
            </a:ln>
            <a:effectLst>
              <a:outerShdw blurRad="50800" dist="38100" dir="2700000" algn="tl" rotWithShape="0">
                <a:prstClr val="black">
                  <a:alpha val="40000"/>
                </a:prstClr>
              </a:outerShdw>
            </a:effectLst>
          </c:spPr>
          <c:invertIfNegative val="0"/>
          <c:cat>
            <c:strRef>
              <c:f>'3.RESULTADOS'!$M$10:$M$12</c:f>
              <c:strCache>
                <c:ptCount val="3"/>
                <c:pt idx="0">
                  <c:v>Comunicación y sensibilización</c:v>
                </c:pt>
                <c:pt idx="1">
                  <c:v>Prevención</c:v>
                </c:pt>
                <c:pt idx="2">
                  <c:v>Respuesta inmediata</c:v>
                </c:pt>
              </c:strCache>
            </c:strRef>
          </c:cat>
          <c:val>
            <c:numRef>
              <c:f>'3.RESULTADOS'!$N$10:$N$12</c:f>
              <c:numCache>
                <c:formatCode>General</c:formatCode>
                <c:ptCount val="3"/>
                <c:pt idx="0">
                  <c:v>25</c:v>
                </c:pt>
                <c:pt idx="1">
                  <c:v>56</c:v>
                </c:pt>
                <c:pt idx="2">
                  <c:v>60</c:v>
                </c:pt>
              </c:numCache>
            </c:numRef>
          </c:val>
          <c:extLst>
            <c:ext xmlns:c15="http://schemas.microsoft.com/office/drawing/2012/chart" uri="{02D57815-91ED-43cb-92C2-25804820EDAC}">
              <c15:filteredSeriesTitle>
                <c15:tx>
                  <c:strRef>
                    <c:extLst>
                      <c:ext uri="{02D57815-91ED-43cb-92C2-25804820EDAC}">
                        <c15:formulaRef>
                          <c15:sqref>'[1]3'!#REF!</c15:sqref>
                        </c15:formulaRef>
                      </c:ext>
                    </c:extLst>
                    <c:strCache>
                      <c:ptCount val="1"/>
                      <c:pt idx="0">
                        <c:v>#¡REF!</c:v>
                      </c:pt>
                    </c:strCache>
                  </c:strRef>
                </c15:tx>
              </c15:filteredSeriesTitle>
            </c:ext>
            <c:ext xmlns:c16="http://schemas.microsoft.com/office/drawing/2014/chart" uri="{C3380CC4-5D6E-409C-BE32-E72D297353CC}">
              <c16:uniqueId val="{00000000-D5D8-4F22-865E-C7275D7B3C45}"/>
            </c:ext>
          </c:extLst>
        </c:ser>
        <c:dLbls>
          <c:showLegendKey val="0"/>
          <c:showVal val="0"/>
          <c:showCatName val="0"/>
          <c:showSerName val="0"/>
          <c:showPercent val="0"/>
          <c:showBubbleSize val="0"/>
        </c:dLbls>
        <c:gapWidth val="20"/>
        <c:axId val="2076280831"/>
        <c:axId val="2076265471"/>
      </c:barChart>
      <c:valAx>
        <c:axId val="2076265471"/>
        <c:scaling>
          <c:orientation val="minMax"/>
        </c:scaling>
        <c:delete val="1"/>
        <c:axPos val="t"/>
        <c:majorGridlines/>
        <c:numFmt formatCode="General" sourceLinked="1"/>
        <c:majorTickMark val="out"/>
        <c:minorTickMark val="none"/>
        <c:tickLblPos val="nextTo"/>
        <c:crossAx val="2076280831"/>
        <c:crosses val="autoZero"/>
        <c:crossBetween val="between"/>
      </c:valAx>
      <c:catAx>
        <c:axId val="2076280831"/>
        <c:scaling>
          <c:orientation val="maxMin"/>
        </c:scaling>
        <c:delete val="1"/>
        <c:axPos val="l"/>
        <c:numFmt formatCode="General" sourceLinked="1"/>
        <c:majorTickMark val="out"/>
        <c:minorTickMark val="none"/>
        <c:tickLblPos val="nextTo"/>
        <c:crossAx val="2076265471"/>
        <c:crosses val="autoZero"/>
        <c:auto val="1"/>
        <c:lblAlgn val="ctr"/>
        <c:lblOffset val="100"/>
        <c:noMultiLvlLbl val="0"/>
      </c:catAx>
    </c:plotArea>
    <c:plotVisOnly val="1"/>
    <c:dispBlanksAs val="gap"/>
    <c:showDLblsOverMax val="1"/>
  </c:chart>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4.3589294805270719E-2"/>
          <c:y val="5.9094976583073874E-2"/>
          <c:w val="0.91639375400498024"/>
          <c:h val="0.75933956312352335"/>
        </c:manualLayout>
      </c:layout>
      <c:radarChart>
        <c:radarStyle val="marker"/>
        <c:varyColors val="1"/>
        <c:ser>
          <c:idx val="0"/>
          <c:order val="0"/>
          <c:tx>
            <c:strRef>
              <c:f>'3.RESULTADOS'!$N$28</c:f>
              <c:strCache>
                <c:ptCount val="1"/>
                <c:pt idx="0">
                  <c:v> Global</c:v>
                </c:pt>
              </c:strCache>
            </c:strRef>
          </c:tx>
          <c:spPr>
            <a:ln w="63500">
              <a:solidFill>
                <a:srgbClr val="FFC000"/>
              </a:solidFill>
            </a:ln>
            <a:effectLst>
              <a:outerShdw blurRad="50800" dist="38100" dir="2700000" algn="tl" rotWithShape="0">
                <a:prstClr val="black">
                  <a:alpha val="40000"/>
                </a:prstClr>
              </a:outerShdw>
            </a:effectLst>
          </c:spPr>
          <c:marker>
            <c:symbol val="none"/>
          </c:marker>
          <c:cat>
            <c:strRef>
              <c:f>'3.RESULTADOS'!$M$29:$M$36</c:f>
              <c:strCache>
                <c:ptCount val="8"/>
                <c:pt idx="0">
                  <c:v> C1. Potencial de refrigeración urbana</c:v>
                </c:pt>
                <c:pt idx="1">
                  <c:v> C2. Aumento del espacio verde/azul</c:v>
                </c:pt>
                <c:pt idx="2">
                  <c:v> C3. Cobertura de grupos vulnerables</c:v>
                </c:pt>
                <c:pt idx="3">
                  <c:v> C4. Población alcanzada</c:v>
                </c:pt>
                <c:pt idx="4">
                  <c:v> C5. Coste de ejecución</c:v>
                </c:pt>
                <c:pt idx="5">
                  <c:v> C6. Disponibilidad de financiación</c:v>
                </c:pt>
                <c:pt idx="6">
                  <c:v> C7. Viabilidad</c:v>
                </c:pt>
                <c:pt idx="7">
                  <c:v> C8. Tiempo para implementar</c:v>
                </c:pt>
              </c:strCache>
            </c:strRef>
          </c:cat>
          <c:val>
            <c:numRef>
              <c:f>'3.RESULTADOS'!$N$29:$N$36</c:f>
              <c:numCache>
                <c:formatCode>0.00</c:formatCode>
                <c:ptCount val="8"/>
                <c:pt idx="0">
                  <c:v>5.6737588652482271</c:v>
                </c:pt>
                <c:pt idx="1">
                  <c:v>2.5709219858156027</c:v>
                </c:pt>
                <c:pt idx="2">
                  <c:v>25.265957446808514</c:v>
                </c:pt>
                <c:pt idx="3">
                  <c:v>25.443262411347519</c:v>
                </c:pt>
                <c:pt idx="4">
                  <c:v>31.826241134751772</c:v>
                </c:pt>
                <c:pt idx="5">
                  <c:v>22.606382978723406</c:v>
                </c:pt>
                <c:pt idx="6">
                  <c:v>32.535460992907801</c:v>
                </c:pt>
                <c:pt idx="7">
                  <c:v>33.156028368794324</c:v>
                </c:pt>
              </c:numCache>
            </c:numRef>
          </c:val>
          <c:extLst>
            <c:ext xmlns:c16="http://schemas.microsoft.com/office/drawing/2014/chart" uri="{C3380CC4-5D6E-409C-BE32-E72D297353CC}">
              <c16:uniqueId val="{00000000-6C34-4ABF-BB06-1BF962B94AB9}"/>
            </c:ext>
          </c:extLst>
        </c:ser>
        <c:ser>
          <c:idx val="1"/>
          <c:order val="1"/>
          <c:tx>
            <c:strRef>
              <c:f>'3.RESULTADOS'!$O$28</c:f>
              <c:strCache>
                <c:ptCount val="1"/>
                <c:pt idx="0">
                  <c:v> Top 20</c:v>
                </c:pt>
              </c:strCache>
            </c:strRef>
          </c:tx>
          <c:spPr>
            <a:ln w="63500">
              <a:solidFill>
                <a:schemeClr val="accent6">
                  <a:lumMod val="75000"/>
                </a:schemeClr>
              </a:solidFill>
            </a:ln>
            <a:effectLst>
              <a:outerShdw blurRad="50800" dist="38100" dir="2700000" algn="tl" rotWithShape="0">
                <a:prstClr val="black">
                  <a:alpha val="40000"/>
                </a:prstClr>
              </a:outerShdw>
            </a:effectLst>
          </c:spPr>
          <c:marker>
            <c:symbol val="none"/>
          </c:marker>
          <c:cat>
            <c:strRef>
              <c:f>'3.RESULTADOS'!$M$29:$M$36</c:f>
              <c:strCache>
                <c:ptCount val="8"/>
                <c:pt idx="0">
                  <c:v> C1. Potencial de refrigeración urbana</c:v>
                </c:pt>
                <c:pt idx="1">
                  <c:v> C2. Aumento del espacio verde/azul</c:v>
                </c:pt>
                <c:pt idx="2">
                  <c:v> C3. Cobertura de grupos vulnerables</c:v>
                </c:pt>
                <c:pt idx="3">
                  <c:v> C4. Población alcanzada</c:v>
                </c:pt>
                <c:pt idx="4">
                  <c:v> C5. Coste de ejecución</c:v>
                </c:pt>
                <c:pt idx="5">
                  <c:v> C6. Disponibilidad de financiación</c:v>
                </c:pt>
                <c:pt idx="6">
                  <c:v> C7. Viabilidad</c:v>
                </c:pt>
                <c:pt idx="7">
                  <c:v> C8. Tiempo para implementar</c:v>
                </c:pt>
              </c:strCache>
            </c:strRef>
          </c:cat>
          <c:val>
            <c:numRef>
              <c:f>'3.RESULTADOS'!$O$29:$O$36</c:f>
              <c:numCache>
                <c:formatCode>0.00</c:formatCode>
                <c:ptCount val="8"/>
                <c:pt idx="0">
                  <c:v>0.625</c:v>
                </c:pt>
                <c:pt idx="1">
                  <c:v>0</c:v>
                </c:pt>
                <c:pt idx="2">
                  <c:v>34.375</c:v>
                </c:pt>
                <c:pt idx="3">
                  <c:v>33.125</c:v>
                </c:pt>
                <c:pt idx="4">
                  <c:v>37.5</c:v>
                </c:pt>
                <c:pt idx="5">
                  <c:v>25</c:v>
                </c:pt>
                <c:pt idx="6">
                  <c:v>37.5</c:v>
                </c:pt>
                <c:pt idx="7">
                  <c:v>37.5</c:v>
                </c:pt>
              </c:numCache>
            </c:numRef>
          </c:val>
          <c:extLst>
            <c:ext xmlns:c16="http://schemas.microsoft.com/office/drawing/2014/chart" uri="{C3380CC4-5D6E-409C-BE32-E72D297353CC}">
              <c16:uniqueId val="{00000001-6C34-4ABF-BB06-1BF962B94AB9}"/>
            </c:ext>
          </c:extLst>
        </c:ser>
        <c:ser>
          <c:idx val="2"/>
          <c:order val="2"/>
          <c:tx>
            <c:strRef>
              <c:f>'3.RESULTADOS'!$P$28</c:f>
              <c:strCache>
                <c:ptCount val="1"/>
                <c:pt idx="0">
                  <c:v> Últimas 20</c:v>
                </c:pt>
              </c:strCache>
            </c:strRef>
          </c:tx>
          <c:spPr>
            <a:ln w="63500">
              <a:solidFill>
                <a:srgbClr val="C00000"/>
              </a:solidFill>
            </a:ln>
            <a:effectLst>
              <a:outerShdw blurRad="50800" dist="38100" dir="2700000" algn="tl" rotWithShape="0">
                <a:prstClr val="black">
                  <a:alpha val="40000"/>
                </a:prstClr>
              </a:outerShdw>
            </a:effectLst>
          </c:spPr>
          <c:marker>
            <c:symbol val="none"/>
          </c:marker>
          <c:dLbls>
            <c:dLbl>
              <c:idx val="0"/>
              <c:layout>
                <c:manualLayout>
                  <c:x val="-1.6963994706605356E-3"/>
                  <c:y val="-0.21795333427346286"/>
                </c:manualLayout>
              </c:layout>
              <c:tx>
                <c:rich>
                  <a:bodyPr/>
                  <a:lstStyle/>
                  <a:p>
                    <a:pPr>
                      <a:defRPr sz="1600" b="1"/>
                    </a:pPr>
                    <a:r>
                      <a:rPr lang="en-US" sz="1600" b="1"/>
                      <a:t>C1</a:t>
                    </a:r>
                  </a:p>
                </c:rich>
              </c:tx>
              <c:spPr>
                <a:noFill/>
                <a:ln>
                  <a:noFill/>
                </a:ln>
                <a:effectLst/>
              </c:spP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8B-4650-8FE6-6C5800BC14DC}"/>
                </c:ext>
              </c:extLst>
            </c:dLbl>
            <c:dLbl>
              <c:idx val="1"/>
              <c:layout>
                <c:manualLayout>
                  <c:x val="0.23236281535290076"/>
                  <c:y val="-0.20692374665599084"/>
                </c:manualLayout>
              </c:layout>
              <c:tx>
                <c:rich>
                  <a:bodyPr/>
                  <a:lstStyle/>
                  <a:p>
                    <a:pPr>
                      <a:defRPr sz="1600" b="1"/>
                    </a:pPr>
                    <a:r>
                      <a:rPr lang="en-US" sz="1600" b="1"/>
                      <a:t>C2</a:t>
                    </a:r>
                  </a:p>
                </c:rich>
              </c:tx>
              <c:spPr>
                <a:noFill/>
                <a:ln>
                  <a:noFill/>
                </a:ln>
                <a:effectLst/>
              </c:spP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8B-4650-8FE6-6C5800BC14DC}"/>
                </c:ext>
              </c:extLst>
            </c:dLbl>
            <c:dLbl>
              <c:idx val="2"/>
              <c:layout>
                <c:manualLayout>
                  <c:x val="0.34401617748110336"/>
                  <c:y val="-3.4954848355009166E-4"/>
                </c:manualLayout>
              </c:layout>
              <c:tx>
                <c:rich>
                  <a:bodyPr/>
                  <a:lstStyle/>
                  <a:p>
                    <a:pPr>
                      <a:defRPr sz="1600" b="1"/>
                    </a:pPr>
                    <a:r>
                      <a:rPr lang="en-US" sz="1600" b="1"/>
                      <a:t>C3</a:t>
                    </a:r>
                  </a:p>
                </c:rich>
              </c:tx>
              <c:spPr>
                <a:noFill/>
                <a:ln>
                  <a:noFill/>
                </a:ln>
                <a:effectLst/>
              </c:spP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8B-4650-8FE6-6C5800BC14DC}"/>
                </c:ext>
              </c:extLst>
            </c:dLbl>
            <c:dLbl>
              <c:idx val="3"/>
              <c:layout>
                <c:manualLayout>
                  <c:x val="0.13831168984163011"/>
                  <c:y val="0.11715119568313311"/>
                </c:manualLayout>
              </c:layout>
              <c:tx>
                <c:rich>
                  <a:bodyPr/>
                  <a:lstStyle/>
                  <a:p>
                    <a:pPr>
                      <a:defRPr sz="1600" b="1"/>
                    </a:pPr>
                    <a:r>
                      <a:rPr lang="en-US" sz="1600" b="1"/>
                      <a:t>C4</a:t>
                    </a:r>
                  </a:p>
                </c:rich>
              </c:tx>
              <c:spPr>
                <a:noFill/>
                <a:ln>
                  <a:noFill/>
                </a:ln>
                <a:effectLst/>
              </c:spP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8B-4650-8FE6-6C5800BC14DC}"/>
                </c:ext>
              </c:extLst>
            </c:dLbl>
            <c:dLbl>
              <c:idx val="4"/>
              <c:layout>
                <c:manualLayout>
                  <c:x val="1.60498238807494E-3"/>
                  <c:y val="0.13256230634213989"/>
                </c:manualLayout>
              </c:layout>
              <c:tx>
                <c:rich>
                  <a:bodyPr/>
                  <a:lstStyle/>
                  <a:p>
                    <a:pPr>
                      <a:defRPr sz="1600" b="1"/>
                    </a:pPr>
                    <a:r>
                      <a:rPr lang="en-US" sz="1600" b="1"/>
                      <a:t>C5</a:t>
                    </a:r>
                  </a:p>
                </c:rich>
              </c:tx>
              <c:spPr>
                <a:noFill/>
                <a:ln>
                  <a:noFill/>
                </a:ln>
                <a:effectLst/>
              </c:spP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8B-4650-8FE6-6C5800BC14DC}"/>
                </c:ext>
              </c:extLst>
            </c:dLbl>
            <c:dLbl>
              <c:idx val="5"/>
              <c:layout>
                <c:manualLayout>
                  <c:x val="-0.16338643368999706"/>
                  <c:y val="0.14204206280062487"/>
                </c:manualLayout>
              </c:layout>
              <c:tx>
                <c:rich>
                  <a:bodyPr wrap="square" lIns="38100" tIns="19050" rIns="38100" bIns="19050" anchor="ctr">
                    <a:spAutoFit/>
                  </a:bodyPr>
                  <a:lstStyle/>
                  <a:p>
                    <a:pPr>
                      <a:defRPr sz="1600" b="1"/>
                    </a:pPr>
                    <a:r>
                      <a:rPr lang="en-US" sz="1600"/>
                      <a:t>C6</a:t>
                    </a:r>
                  </a:p>
                </c:rich>
              </c:tx>
              <c:spPr>
                <a:noFill/>
                <a:ln>
                  <a:noFill/>
                </a:ln>
                <a:effectLst/>
              </c:spP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8A-4490-91EE-6009BD4507E3}"/>
                </c:ext>
              </c:extLst>
            </c:dLbl>
            <c:dLbl>
              <c:idx val="6"/>
              <c:layout>
                <c:manualLayout>
                  <c:x val="-0.14133897752663385"/>
                  <c:y val="0"/>
                </c:manualLayout>
              </c:layout>
              <c:tx>
                <c:rich>
                  <a:bodyPr wrap="square" lIns="38100" tIns="19050" rIns="38100" bIns="19050" anchor="ctr">
                    <a:spAutoFit/>
                  </a:bodyPr>
                  <a:lstStyle/>
                  <a:p>
                    <a:pPr>
                      <a:defRPr sz="1600" b="1"/>
                    </a:pPr>
                    <a:r>
                      <a:rPr lang="en-US" sz="1600"/>
                      <a:t>C7</a:t>
                    </a:r>
                  </a:p>
                </c:rich>
              </c:tx>
              <c:spPr>
                <a:noFill/>
                <a:ln>
                  <a:noFill/>
                </a:ln>
                <a:effectLst/>
              </c:spP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8A-4490-91EE-6009BD4507E3}"/>
                </c:ext>
              </c:extLst>
            </c:dLbl>
            <c:dLbl>
              <c:idx val="7"/>
              <c:layout>
                <c:manualLayout>
                  <c:x val="-8.6398115244920012E-2"/>
                  <c:y val="-7.5360022344236124E-2"/>
                </c:manualLayout>
              </c:layout>
              <c:tx>
                <c:rich>
                  <a:bodyPr wrap="square" lIns="38100" tIns="19050" rIns="38100" bIns="19050" anchor="ctr">
                    <a:spAutoFit/>
                  </a:bodyPr>
                  <a:lstStyle/>
                  <a:p>
                    <a:pPr>
                      <a:defRPr sz="1600" b="1"/>
                    </a:pPr>
                    <a:r>
                      <a:rPr lang="en-US" sz="1600"/>
                      <a:t>C8</a:t>
                    </a:r>
                  </a:p>
                </c:rich>
              </c:tx>
              <c:spPr>
                <a:noFill/>
                <a:ln>
                  <a:noFill/>
                </a:ln>
                <a:effectLst/>
              </c:spP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8A-4490-91EE-6009BD4507E3}"/>
                </c:ext>
              </c:extLst>
            </c:dLbl>
            <c:spPr>
              <a:noFill/>
              <a:ln>
                <a:noFill/>
              </a:ln>
              <a:effectLst/>
            </c:spPr>
            <c:txPr>
              <a:bodyPr wrap="square" lIns="38100" tIns="19050" rIns="38100" bIns="19050" anchor="ctr">
                <a:spAutoFit/>
              </a:bodyPr>
              <a:lstStyle/>
              <a:p>
                <a:pPr>
                  <a:defRPr sz="1200" b="1"/>
                </a:pPr>
                <a:endParaRPr lang="es-E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'3.RESULTADOS'!$M$29:$M$36</c:f>
              <c:strCache>
                <c:ptCount val="8"/>
                <c:pt idx="0">
                  <c:v> C1. Potencial de refrigeración urbana</c:v>
                </c:pt>
                <c:pt idx="1">
                  <c:v> C2. Aumento del espacio verde/azul</c:v>
                </c:pt>
                <c:pt idx="2">
                  <c:v> C3. Cobertura de grupos vulnerables</c:v>
                </c:pt>
                <c:pt idx="3">
                  <c:v> C4. Población alcanzada</c:v>
                </c:pt>
                <c:pt idx="4">
                  <c:v> C5. Coste de ejecución</c:v>
                </c:pt>
                <c:pt idx="5">
                  <c:v> C6. Disponibilidad de financiación</c:v>
                </c:pt>
                <c:pt idx="6">
                  <c:v> C7. Viabilidad</c:v>
                </c:pt>
                <c:pt idx="7">
                  <c:v> C8. Tiempo para implementar</c:v>
                </c:pt>
              </c:strCache>
            </c:strRef>
          </c:cat>
          <c:val>
            <c:numRef>
              <c:f>'3.RESULTADOS'!$P$29:$P$36</c:f>
              <c:numCache>
                <c:formatCode>0.00</c:formatCode>
                <c:ptCount val="8"/>
                <c:pt idx="0">
                  <c:v>12.5</c:v>
                </c:pt>
                <c:pt idx="1">
                  <c:v>7.5</c:v>
                </c:pt>
                <c:pt idx="2">
                  <c:v>11.875</c:v>
                </c:pt>
                <c:pt idx="3">
                  <c:v>18.125</c:v>
                </c:pt>
                <c:pt idx="4">
                  <c:v>21.25</c:v>
                </c:pt>
                <c:pt idx="5">
                  <c:v>15</c:v>
                </c:pt>
                <c:pt idx="6">
                  <c:v>21.875</c:v>
                </c:pt>
                <c:pt idx="7">
                  <c:v>23.125</c:v>
                </c:pt>
              </c:numCache>
            </c:numRef>
          </c:val>
          <c:extLst>
            <c:ext xmlns:c16="http://schemas.microsoft.com/office/drawing/2014/chart" uri="{C3380CC4-5D6E-409C-BE32-E72D297353CC}">
              <c16:uniqueId val="{00000002-6C34-4ABF-BB06-1BF962B94AB9}"/>
            </c:ext>
          </c:extLst>
        </c:ser>
        <c:dLbls>
          <c:showLegendKey val="0"/>
          <c:showVal val="0"/>
          <c:showCatName val="0"/>
          <c:showSerName val="0"/>
          <c:showPercent val="0"/>
          <c:showBubbleSize val="0"/>
        </c:dLbls>
        <c:axId val="10"/>
        <c:axId val="100"/>
      </c:radarChart>
      <c:catAx>
        <c:axId val="10"/>
        <c:scaling>
          <c:orientation val="minMax"/>
        </c:scaling>
        <c:delete val="1"/>
        <c:axPos val="b"/>
        <c:majorGridlines/>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0"/>
        <c:axPos val="l"/>
        <c:majorGridlines>
          <c:spPr>
            <a:ln>
              <a:prstDash val="dashDot"/>
            </a:ln>
          </c:spPr>
        </c:majorGridlines>
        <c:numFmt formatCode="0" sourceLinked="0"/>
        <c:majorTickMark val="out"/>
        <c:minorTickMark val="none"/>
        <c:tickLblPos val="nextTo"/>
        <c:spPr>
          <a:ln>
            <a:prstDash val="sysDot"/>
          </a:ln>
        </c:spPr>
        <c:txPr>
          <a:bodyPr/>
          <a:lstStyle/>
          <a:p>
            <a:pPr>
              <a:defRPr sz="1000">
                <a:solidFill>
                  <a:srgbClr val="002142"/>
                </a:solidFill>
              </a:defRPr>
            </a:pPr>
            <a:endParaRPr lang="es-ES"/>
          </a:p>
        </c:txPr>
        <c:crossAx val="10"/>
        <c:crosses val="autoZero"/>
        <c:crossBetween val="between"/>
      </c:valAx>
    </c:plotArea>
    <c:legend>
      <c:legendPos val="b"/>
      <c:layout>
        <c:manualLayout>
          <c:xMode val="edge"/>
          <c:yMode val="edge"/>
          <c:x val="0.27155711407893757"/>
          <c:y val="0.93726530437065481"/>
          <c:w val="0.45741922378077415"/>
          <c:h val="3.5360467835367886E-2"/>
        </c:manualLayout>
      </c:layout>
      <c:overlay val="1"/>
      <c:txPr>
        <a:bodyPr/>
        <a:lstStyle/>
        <a:p>
          <a:pPr>
            <a:defRPr sz="1200"/>
          </a:pPr>
          <a:endParaRPr lang="es-ES"/>
        </a:p>
      </c:txPr>
    </c:legend>
    <c:plotVisOnly val="1"/>
    <c:dispBlanksAs val="gap"/>
    <c:showDLblsOverMax val="1"/>
  </c:chart>
  <c:txPr>
    <a:bodyPr/>
    <a:lstStyle/>
    <a:p>
      <a:pPr>
        <a:defRPr sz="1050"/>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847953216374272E-2"/>
          <c:y val="3.2540523200368142E-3"/>
          <c:w val="0.91830409356725151"/>
          <c:h val="0.99023784303988971"/>
        </c:manualLayout>
      </c:layout>
      <c:barChart>
        <c:barDir val="bar"/>
        <c:grouping val="clustered"/>
        <c:varyColors val="0"/>
        <c:ser>
          <c:idx val="0"/>
          <c:order val="0"/>
          <c:spPr>
            <a:solidFill>
              <a:srgbClr val="0E4194"/>
            </a:solidFill>
            <a:ln>
              <a:prstDash val="solid"/>
            </a:ln>
            <a:effectLst>
              <a:outerShdw blurRad="50800" dist="38100" dir="2700000" algn="tl" rotWithShape="0">
                <a:prstClr val="black">
                  <a:alpha val="40000"/>
                </a:prstClr>
              </a:outerShdw>
            </a:effectLst>
          </c:spPr>
          <c:invertIfNegative val="0"/>
          <c:cat>
            <c:strRef>
              <c:f>'3.RESULTADOS'!$M$15:$M$25</c:f>
              <c:strCache>
                <c:ptCount val="11"/>
                <c:pt idx="0">
                  <c:v>Edificios e instalaciones públicas</c:v>
                </c:pt>
                <c:pt idx="1">
                  <c:v>Planificación urbana</c:v>
                </c:pt>
                <c:pt idx="2">
                  <c:v>Cultura y deportes</c:v>
                </c:pt>
                <c:pt idx="3">
                  <c:v>Turismo</c:v>
                </c:pt>
                <c:pt idx="4">
                  <c:v>Riesgos laborales</c:v>
                </c:pt>
                <c:pt idx="5">
                  <c:v>Educación</c:v>
                </c:pt>
                <c:pt idx="6">
                  <c:v>Servicios sociales</c:v>
                </c:pt>
                <c:pt idx="7">
                  <c:v>Servicios de emergencia y policía</c:v>
                </c:pt>
                <c:pt idx="8">
                  <c:v>Parques y jardines 
(infraestructura urbana verde)</c:v>
                </c:pt>
                <c:pt idx="9">
                  <c:v>Transporte</c:v>
                </c:pt>
                <c:pt idx="10">
                  <c:v>Coordinación</c:v>
                </c:pt>
              </c:strCache>
            </c:strRef>
          </c:cat>
          <c:val>
            <c:numRef>
              <c:f>'3.RESULTADOS'!$N$15:$N$25</c:f>
              <c:numCache>
                <c:formatCode>General</c:formatCode>
                <c:ptCount val="11"/>
                <c:pt idx="0">
                  <c:v>37</c:v>
                </c:pt>
                <c:pt idx="1">
                  <c:v>20</c:v>
                </c:pt>
                <c:pt idx="2">
                  <c:v>25</c:v>
                </c:pt>
                <c:pt idx="3">
                  <c:v>9</c:v>
                </c:pt>
                <c:pt idx="4">
                  <c:v>16</c:v>
                </c:pt>
                <c:pt idx="5">
                  <c:v>31</c:v>
                </c:pt>
                <c:pt idx="6">
                  <c:v>32</c:v>
                </c:pt>
                <c:pt idx="7">
                  <c:v>11</c:v>
                </c:pt>
                <c:pt idx="8">
                  <c:v>17</c:v>
                </c:pt>
                <c:pt idx="9">
                  <c:v>5</c:v>
                </c:pt>
                <c:pt idx="10">
                  <c:v>24</c:v>
                </c:pt>
              </c:numCache>
            </c:numRef>
          </c:val>
          <c:extLst>
            <c:ext xmlns:c15="http://schemas.microsoft.com/office/drawing/2012/chart" uri="{02D57815-91ED-43cb-92C2-25804820EDAC}">
              <c15:filteredSeriesTitle>
                <c15:tx>
                  <c:strRef>
                    <c:extLst>
                      <c:ext uri="{02D57815-91ED-43cb-92C2-25804820EDAC}">
                        <c15:formulaRef>
                          <c15:sqref>'[1]3'!#REF!</c15:sqref>
                        </c15:formulaRef>
                      </c:ext>
                    </c:extLst>
                    <c:strCache>
                      <c:ptCount val="1"/>
                      <c:pt idx="0">
                        <c:v>#¡REF!</c:v>
                      </c:pt>
                    </c:strCache>
                  </c:strRef>
                </c15:tx>
              </c15:filteredSeriesTitle>
            </c:ext>
            <c:ext xmlns:c16="http://schemas.microsoft.com/office/drawing/2014/chart" uri="{C3380CC4-5D6E-409C-BE32-E72D297353CC}">
              <c16:uniqueId val="{00000000-5603-46A7-B576-79D01ABF5CF4}"/>
            </c:ext>
          </c:extLst>
        </c:ser>
        <c:dLbls>
          <c:showLegendKey val="0"/>
          <c:showVal val="0"/>
          <c:showCatName val="0"/>
          <c:showSerName val="0"/>
          <c:showPercent val="0"/>
          <c:showBubbleSize val="0"/>
        </c:dLbls>
        <c:gapWidth val="20"/>
        <c:axId val="2076280831"/>
        <c:axId val="2076265471"/>
      </c:barChart>
      <c:valAx>
        <c:axId val="2076265471"/>
        <c:scaling>
          <c:orientation val="minMax"/>
        </c:scaling>
        <c:delete val="1"/>
        <c:axPos val="t"/>
        <c:majorGridlines/>
        <c:numFmt formatCode="General" sourceLinked="1"/>
        <c:majorTickMark val="out"/>
        <c:minorTickMark val="none"/>
        <c:tickLblPos val="nextTo"/>
        <c:crossAx val="2076280831"/>
        <c:crosses val="autoZero"/>
        <c:crossBetween val="between"/>
      </c:valAx>
      <c:catAx>
        <c:axId val="2076280831"/>
        <c:scaling>
          <c:orientation val="maxMin"/>
        </c:scaling>
        <c:delete val="1"/>
        <c:axPos val="l"/>
        <c:numFmt formatCode="General" sourceLinked="1"/>
        <c:majorTickMark val="out"/>
        <c:minorTickMark val="none"/>
        <c:tickLblPos val="nextTo"/>
        <c:crossAx val="2076265471"/>
        <c:crosses val="autoZero"/>
        <c:auto val="1"/>
        <c:lblAlgn val="ctr"/>
        <c:lblOffset val="100"/>
        <c:noMultiLvlLbl val="0"/>
      </c:catAx>
    </c:plotArea>
    <c:plotVisOnly val="1"/>
    <c:dispBlanksAs val="gap"/>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4.3589294805270719E-2"/>
          <c:y val="5.9094976583073874E-2"/>
          <c:w val="0.91639375400498024"/>
          <c:h val="0.75933956312352335"/>
        </c:manualLayout>
      </c:layout>
      <c:radarChart>
        <c:radarStyle val="marker"/>
        <c:varyColors val="1"/>
        <c:ser>
          <c:idx val="0"/>
          <c:order val="0"/>
          <c:tx>
            <c:strRef>
              <c:f>'3.RESULTADOS'!$N$61</c:f>
              <c:strCache>
                <c:ptCount val="1"/>
                <c:pt idx="0">
                  <c:v> Global</c:v>
                </c:pt>
              </c:strCache>
            </c:strRef>
          </c:tx>
          <c:spPr>
            <a:ln w="63500">
              <a:solidFill>
                <a:srgbClr val="FFC000"/>
              </a:solidFill>
            </a:ln>
            <a:effectLst>
              <a:outerShdw blurRad="50800" dist="38100" dir="2700000" algn="tl" rotWithShape="0">
                <a:prstClr val="black">
                  <a:alpha val="40000"/>
                </a:prstClr>
              </a:outerShdw>
            </a:effectLst>
          </c:spPr>
          <c:marker>
            <c:symbol val="none"/>
          </c:marker>
          <c:dLbls>
            <c:dLbl>
              <c:idx val="0"/>
              <c:layout>
                <c:manualLayout>
                  <c:x val="-7.3143292712588193E-17"/>
                  <c:y val="-0.29377190190621483"/>
                </c:manualLayout>
              </c:layout>
              <c:spPr>
                <a:noFill/>
                <a:ln>
                  <a:noFill/>
                </a:ln>
                <a:effectLst/>
              </c:spPr>
              <c:txPr>
                <a:bodyPr wrap="square" lIns="38100" tIns="19050" rIns="38100" bIns="19050" anchor="ctr">
                  <a:spAutoFit/>
                </a:bodyPr>
                <a:lstStyle/>
                <a:p>
                  <a:pPr>
                    <a:defRPr sz="1200" b="1"/>
                  </a:pPr>
                  <a:endParaRPr lang="es-ES"/>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A3A-4C99-BE03-4CB6EB5FA858}"/>
                </c:ext>
              </c:extLst>
            </c:dLbl>
            <c:dLbl>
              <c:idx val="1"/>
              <c:layout>
                <c:manualLayout>
                  <c:x val="0.20746337230078105"/>
                  <c:y val="-4.601246656362401E-2"/>
                </c:manualLayout>
              </c:layout>
              <c:spPr>
                <a:noFill/>
                <a:ln>
                  <a:noFill/>
                </a:ln>
                <a:effectLst/>
              </c:spPr>
              <c:txPr>
                <a:bodyPr wrap="square" lIns="38100" tIns="19050" rIns="38100" bIns="19050" anchor="ctr">
                  <a:spAutoFit/>
                </a:bodyPr>
                <a:lstStyle/>
                <a:p>
                  <a:pPr>
                    <a:defRPr sz="1200" b="1"/>
                  </a:pPr>
                  <a:endParaRPr lang="es-ES"/>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A3A-4C99-BE03-4CB6EB5FA858}"/>
                </c:ext>
              </c:extLst>
            </c:dLbl>
            <c:dLbl>
              <c:idx val="2"/>
              <c:layout>
                <c:manualLayout>
                  <c:x val="1.9947962519820343E-3"/>
                  <c:y val="5.8400438330753549E-2"/>
                </c:manualLayout>
              </c:layout>
              <c:spPr>
                <a:noFill/>
                <a:ln>
                  <a:noFill/>
                </a:ln>
                <a:effectLst/>
              </c:spPr>
              <c:txPr>
                <a:bodyPr wrap="square" lIns="38100" tIns="19050" rIns="38100" bIns="19050" anchor="ctr">
                  <a:spAutoFit/>
                </a:bodyPr>
                <a:lstStyle/>
                <a:p>
                  <a:pPr>
                    <a:defRPr sz="1200" b="1"/>
                  </a:pPr>
                  <a:endParaRPr lang="es-ES"/>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A3A-4C99-BE03-4CB6EB5FA858}"/>
                </c:ext>
              </c:extLst>
            </c:dLbl>
            <c:dLbl>
              <c:idx val="3"/>
              <c:layout>
                <c:manualLayout>
                  <c:x val="0"/>
                  <c:y val="-4.601246656362401E-2"/>
                </c:manualLayout>
              </c:layout>
              <c:spPr>
                <a:noFill/>
                <a:ln>
                  <a:noFill/>
                </a:ln>
                <a:effectLst/>
              </c:spPr>
              <c:txPr>
                <a:bodyPr wrap="square" lIns="38100" tIns="19050" rIns="38100" bIns="19050" anchor="ctr">
                  <a:spAutoFit/>
                </a:bodyPr>
                <a:lstStyle/>
                <a:p>
                  <a:pPr>
                    <a:defRPr sz="1200" b="1"/>
                  </a:pPr>
                  <a:endParaRPr lang="es-ES"/>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A3A-4C99-BE03-4CB6EB5FA858}"/>
                </c:ext>
              </c:extLst>
            </c:dLbl>
            <c:spPr>
              <a:noFill/>
              <a:ln>
                <a:noFill/>
              </a:ln>
              <a:effectLst/>
            </c:sp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'3.RESULTADOS'!$M$62:$M$65</c:f>
              <c:strCache>
                <c:ptCount val="4"/>
                <c:pt idx="0">
                  <c:v>Medioambiental</c:v>
                </c:pt>
                <c:pt idx="1">
                  <c:v>Social</c:v>
                </c:pt>
                <c:pt idx="2">
                  <c:v>Económicos</c:v>
                </c:pt>
                <c:pt idx="3">
                  <c:v>Gobernanza</c:v>
                </c:pt>
              </c:strCache>
            </c:strRef>
          </c:cat>
          <c:val>
            <c:numRef>
              <c:f>'3.RESULTADOS'!$N$62:$N$65</c:f>
              <c:numCache>
                <c:formatCode>0.00</c:formatCode>
                <c:ptCount val="4"/>
                <c:pt idx="0">
                  <c:v>8.2446808510638299</c:v>
                </c:pt>
                <c:pt idx="1">
                  <c:v>50.709219858156033</c:v>
                </c:pt>
                <c:pt idx="2">
                  <c:v>54.432624113475178</c:v>
                </c:pt>
                <c:pt idx="3">
                  <c:v>65.691489361702125</c:v>
                </c:pt>
              </c:numCache>
            </c:numRef>
          </c:val>
          <c:extLst>
            <c:ext xmlns:c16="http://schemas.microsoft.com/office/drawing/2014/chart" uri="{C3380CC4-5D6E-409C-BE32-E72D297353CC}">
              <c16:uniqueId val="{00000000-8A3A-4C99-BE03-4CB6EB5FA858}"/>
            </c:ext>
          </c:extLst>
        </c:ser>
        <c:ser>
          <c:idx val="1"/>
          <c:order val="1"/>
          <c:tx>
            <c:strRef>
              <c:f>'3.RESULTADOS'!$O$61</c:f>
              <c:strCache>
                <c:ptCount val="1"/>
                <c:pt idx="0">
                  <c:v> Top 20</c:v>
                </c:pt>
              </c:strCache>
            </c:strRef>
          </c:tx>
          <c:spPr>
            <a:ln w="63500">
              <a:solidFill>
                <a:schemeClr val="accent6">
                  <a:lumMod val="75000"/>
                </a:schemeClr>
              </a:solidFill>
            </a:ln>
            <a:effectLst>
              <a:outerShdw blurRad="50800" dist="38100" dir="2700000" algn="tl" rotWithShape="0">
                <a:prstClr val="black">
                  <a:alpha val="40000"/>
                </a:prstClr>
              </a:outerShdw>
            </a:effectLst>
          </c:spPr>
          <c:marker>
            <c:symbol val="none"/>
          </c:marker>
          <c:dLbls>
            <c:delete val="1"/>
          </c:dLbls>
          <c:cat>
            <c:strRef>
              <c:f>'3.RESULTADOS'!$M$62:$M$65</c:f>
              <c:strCache>
                <c:ptCount val="4"/>
                <c:pt idx="0">
                  <c:v>Medioambiental</c:v>
                </c:pt>
                <c:pt idx="1">
                  <c:v>Social</c:v>
                </c:pt>
                <c:pt idx="2">
                  <c:v>Económicos</c:v>
                </c:pt>
                <c:pt idx="3">
                  <c:v>Gobernanza</c:v>
                </c:pt>
              </c:strCache>
            </c:strRef>
          </c:cat>
          <c:val>
            <c:numRef>
              <c:f>'3.RESULTADOS'!$O$62:$O$65</c:f>
              <c:numCache>
                <c:formatCode>0.00</c:formatCode>
                <c:ptCount val="4"/>
                <c:pt idx="0">
                  <c:v>0.625</c:v>
                </c:pt>
                <c:pt idx="1">
                  <c:v>67.5</c:v>
                </c:pt>
                <c:pt idx="2">
                  <c:v>62.5</c:v>
                </c:pt>
                <c:pt idx="3">
                  <c:v>75</c:v>
                </c:pt>
              </c:numCache>
            </c:numRef>
          </c:val>
          <c:extLst>
            <c:ext xmlns:c16="http://schemas.microsoft.com/office/drawing/2014/chart" uri="{C3380CC4-5D6E-409C-BE32-E72D297353CC}">
              <c16:uniqueId val="{00000001-8A3A-4C99-BE03-4CB6EB5FA858}"/>
            </c:ext>
          </c:extLst>
        </c:ser>
        <c:ser>
          <c:idx val="2"/>
          <c:order val="2"/>
          <c:tx>
            <c:strRef>
              <c:f>'3.RESULTADOS'!$P$61</c:f>
              <c:strCache>
                <c:ptCount val="1"/>
                <c:pt idx="0">
                  <c:v> Últimas 20</c:v>
                </c:pt>
              </c:strCache>
            </c:strRef>
          </c:tx>
          <c:spPr>
            <a:ln w="66675">
              <a:solidFill>
                <a:srgbClr val="C00000"/>
              </a:solidFill>
            </a:ln>
            <a:effectLst>
              <a:outerShdw blurRad="50800" dist="38100" dir="2700000" algn="tl" rotWithShape="0">
                <a:prstClr val="black">
                  <a:alpha val="40000"/>
                </a:prstClr>
              </a:outerShdw>
            </a:effectLst>
          </c:spPr>
          <c:marker>
            <c:symbol val="none"/>
          </c:marker>
          <c:dLbls>
            <c:delete val="1"/>
          </c:dLbls>
          <c:cat>
            <c:strRef>
              <c:f>'3.RESULTADOS'!$M$62:$M$65</c:f>
              <c:strCache>
                <c:ptCount val="4"/>
                <c:pt idx="0">
                  <c:v>Medioambiental</c:v>
                </c:pt>
                <c:pt idx="1">
                  <c:v>Social</c:v>
                </c:pt>
                <c:pt idx="2">
                  <c:v>Económicos</c:v>
                </c:pt>
                <c:pt idx="3">
                  <c:v>Gobernanza</c:v>
                </c:pt>
              </c:strCache>
            </c:strRef>
          </c:cat>
          <c:val>
            <c:numRef>
              <c:f>'3.RESULTADOS'!$P$62:$P$65</c:f>
              <c:numCache>
                <c:formatCode>0.00</c:formatCode>
                <c:ptCount val="4"/>
                <c:pt idx="0">
                  <c:v>20</c:v>
                </c:pt>
                <c:pt idx="1">
                  <c:v>30</c:v>
                </c:pt>
                <c:pt idx="2">
                  <c:v>36.25</c:v>
                </c:pt>
                <c:pt idx="3">
                  <c:v>45</c:v>
                </c:pt>
              </c:numCache>
            </c:numRef>
          </c:val>
          <c:extLst>
            <c:ext xmlns:c16="http://schemas.microsoft.com/office/drawing/2014/chart" uri="{C3380CC4-5D6E-409C-BE32-E72D297353CC}">
              <c16:uniqueId val="{0000000A-8A3A-4C99-BE03-4CB6EB5FA858}"/>
            </c:ext>
          </c:extLst>
        </c:ser>
        <c:dLbls>
          <c:showLegendKey val="0"/>
          <c:showVal val="1"/>
          <c:showCatName val="0"/>
          <c:showSerName val="0"/>
          <c:showPercent val="0"/>
          <c:showBubbleSize val="0"/>
        </c:dLbls>
        <c:axId val="10"/>
        <c:axId val="100"/>
      </c:radarChart>
      <c:catAx>
        <c:axId val="10"/>
        <c:scaling>
          <c:orientation val="minMax"/>
        </c:scaling>
        <c:delete val="1"/>
        <c:axPos val="b"/>
        <c:majorGridlines/>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0"/>
        <c:axPos val="l"/>
        <c:majorGridlines>
          <c:spPr>
            <a:ln>
              <a:prstDash val="dashDot"/>
            </a:ln>
          </c:spPr>
        </c:majorGridlines>
        <c:numFmt formatCode="0" sourceLinked="0"/>
        <c:majorTickMark val="out"/>
        <c:minorTickMark val="none"/>
        <c:tickLblPos val="nextTo"/>
        <c:spPr>
          <a:ln>
            <a:prstDash val="sysDot"/>
          </a:ln>
        </c:spPr>
        <c:txPr>
          <a:bodyPr/>
          <a:lstStyle/>
          <a:p>
            <a:pPr>
              <a:defRPr sz="1000">
                <a:solidFill>
                  <a:srgbClr val="002142"/>
                </a:solidFill>
              </a:defRPr>
            </a:pPr>
            <a:endParaRPr lang="es-ES"/>
          </a:p>
        </c:txPr>
        <c:crossAx val="10"/>
        <c:crosses val="autoZero"/>
        <c:crossBetween val="between"/>
      </c:valAx>
    </c:plotArea>
    <c:legend>
      <c:legendPos val="b"/>
      <c:layout>
        <c:manualLayout>
          <c:xMode val="edge"/>
          <c:yMode val="edge"/>
          <c:x val="0.27155711407893757"/>
          <c:y val="0.93726530437065481"/>
          <c:w val="0.45741922378077415"/>
          <c:h val="3.5360467835367886E-2"/>
        </c:manualLayout>
      </c:layout>
      <c:overlay val="1"/>
      <c:txPr>
        <a:bodyPr/>
        <a:lstStyle/>
        <a:p>
          <a:pPr>
            <a:defRPr sz="1200"/>
          </a:pPr>
          <a:endParaRPr lang="es-ES"/>
        </a:p>
      </c:txPr>
    </c:legend>
    <c:plotVisOnly val="1"/>
    <c:dispBlanksAs val="gap"/>
    <c:showDLblsOverMax val="1"/>
  </c:chart>
  <c:txPr>
    <a:bodyPr/>
    <a:lstStyle/>
    <a:p>
      <a:pPr>
        <a:defRPr sz="1050"/>
      </a:pPr>
      <a:endParaRPr lang="es-E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hyperlink" Target="#'2.PESOS'!A1"/><Relationship Id="rId7" Type="http://schemas.openxmlformats.org/officeDocument/2006/relationships/hyperlink" Target="#'0.PORTADA'!A1"/><Relationship Id="rId2" Type="http://schemas.openxmlformats.org/officeDocument/2006/relationships/image" Target="../media/image4.png"/><Relationship Id="rId1" Type="http://schemas.openxmlformats.org/officeDocument/2006/relationships/hyperlink" Target="#'3.RESULTADOS'!A1"/><Relationship Id="rId6" Type="http://schemas.openxmlformats.org/officeDocument/2006/relationships/image" Target="../media/image6.png"/><Relationship Id="rId11" Type="http://schemas.openxmlformats.org/officeDocument/2006/relationships/image" Target="../media/image1.png"/><Relationship Id="rId5" Type="http://schemas.openxmlformats.org/officeDocument/2006/relationships/hyperlink" Target="#'1.PERFIL_MUNICIPIO'!A1"/><Relationship Id="rId10" Type="http://schemas.openxmlformats.org/officeDocument/2006/relationships/image" Target="../media/image8.png"/><Relationship Id="rId4" Type="http://schemas.openxmlformats.org/officeDocument/2006/relationships/image" Target="../media/image5.png"/><Relationship Id="rId9" Type="http://schemas.openxmlformats.org/officeDocument/2006/relationships/hyperlink" Target="#'4.CATALOGO_MEDIDAS'!A1"/></Relationships>
</file>

<file path=xl/drawings/_rels/drawing3.xml.rels><?xml version="1.0" encoding="UTF-8" standalone="yes"?>
<Relationships xmlns="http://schemas.openxmlformats.org/package/2006/relationships"><Relationship Id="rId8" Type="http://schemas.openxmlformats.org/officeDocument/2006/relationships/hyperlink" Target="#'0.PORTADA'!A1"/><Relationship Id="rId3" Type="http://schemas.openxmlformats.org/officeDocument/2006/relationships/image" Target="../media/image4.png"/><Relationship Id="rId7" Type="http://schemas.openxmlformats.org/officeDocument/2006/relationships/image" Target="../media/image6.png"/><Relationship Id="rId2" Type="http://schemas.openxmlformats.org/officeDocument/2006/relationships/hyperlink" Target="#'3.RESULTADOS'!A1"/><Relationship Id="rId1" Type="http://schemas.openxmlformats.org/officeDocument/2006/relationships/image" Target="../media/image1.png"/><Relationship Id="rId6" Type="http://schemas.openxmlformats.org/officeDocument/2006/relationships/hyperlink" Target="#'1.PERFIL_MUNICIPIO'!A1"/><Relationship Id="rId11" Type="http://schemas.openxmlformats.org/officeDocument/2006/relationships/image" Target="../media/image8.png"/><Relationship Id="rId5" Type="http://schemas.openxmlformats.org/officeDocument/2006/relationships/image" Target="../media/image5.png"/><Relationship Id="rId10" Type="http://schemas.openxmlformats.org/officeDocument/2006/relationships/hyperlink" Target="#'4.CATALOGO_MEDIDAS'!A1"/><Relationship Id="rId4" Type="http://schemas.openxmlformats.org/officeDocument/2006/relationships/hyperlink" Target="#'2.PESOS'!A1"/><Relationship Id="rId9" Type="http://schemas.openxmlformats.org/officeDocument/2006/relationships/image" Target="../media/image7.png"/></Relationships>
</file>

<file path=xl/drawings/_rels/drawing4.xml.rels><?xml version="1.0" encoding="UTF-8" standalone="yes"?>
<Relationships xmlns="http://schemas.openxmlformats.org/package/2006/relationships"><Relationship Id="rId8" Type="http://schemas.openxmlformats.org/officeDocument/2006/relationships/hyperlink" Target="#'2.PESOS'!A1"/><Relationship Id="rId13" Type="http://schemas.openxmlformats.org/officeDocument/2006/relationships/image" Target="../media/image7.png"/><Relationship Id="rId3" Type="http://schemas.openxmlformats.org/officeDocument/2006/relationships/chart" Target="../charts/chart3.xml"/><Relationship Id="rId7" Type="http://schemas.openxmlformats.org/officeDocument/2006/relationships/image" Target="../media/image4.png"/><Relationship Id="rId12" Type="http://schemas.openxmlformats.org/officeDocument/2006/relationships/hyperlink" Target="#'0.PORTADA'!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3.RESULTADOS'!A1"/><Relationship Id="rId11" Type="http://schemas.openxmlformats.org/officeDocument/2006/relationships/image" Target="../media/image6.png"/><Relationship Id="rId5" Type="http://schemas.openxmlformats.org/officeDocument/2006/relationships/image" Target="../media/image1.png"/><Relationship Id="rId15" Type="http://schemas.openxmlformats.org/officeDocument/2006/relationships/image" Target="../media/image8.png"/><Relationship Id="rId10" Type="http://schemas.openxmlformats.org/officeDocument/2006/relationships/hyperlink" Target="#'1.PERFIL_MUNICIPIO'!A1"/><Relationship Id="rId4" Type="http://schemas.openxmlformats.org/officeDocument/2006/relationships/chart" Target="../charts/chart4.xml"/><Relationship Id="rId9" Type="http://schemas.openxmlformats.org/officeDocument/2006/relationships/image" Target="../media/image5.png"/><Relationship Id="rId14" Type="http://schemas.openxmlformats.org/officeDocument/2006/relationships/hyperlink" Target="#'4.CATALOGO_MEDIDAS'!A1"/></Relationships>
</file>

<file path=xl/drawings/_rels/drawing5.xml.rels><?xml version="1.0" encoding="UTF-8" standalone="yes"?>
<Relationships xmlns="http://schemas.openxmlformats.org/package/2006/relationships"><Relationship Id="rId8" Type="http://schemas.openxmlformats.org/officeDocument/2006/relationships/hyperlink" Target="#'0.PORTADA'!A1"/><Relationship Id="rId3" Type="http://schemas.openxmlformats.org/officeDocument/2006/relationships/image" Target="../media/image4.png"/><Relationship Id="rId7" Type="http://schemas.openxmlformats.org/officeDocument/2006/relationships/image" Target="../media/image6.png"/><Relationship Id="rId2" Type="http://schemas.openxmlformats.org/officeDocument/2006/relationships/hyperlink" Target="#'3.RESULTADOS'!A1"/><Relationship Id="rId1" Type="http://schemas.openxmlformats.org/officeDocument/2006/relationships/image" Target="../media/image1.png"/><Relationship Id="rId6" Type="http://schemas.openxmlformats.org/officeDocument/2006/relationships/hyperlink" Target="#'1.PERFIL_MUNICIPIO'!A1"/><Relationship Id="rId11" Type="http://schemas.openxmlformats.org/officeDocument/2006/relationships/image" Target="../media/image8.png"/><Relationship Id="rId5" Type="http://schemas.openxmlformats.org/officeDocument/2006/relationships/image" Target="../media/image5.png"/><Relationship Id="rId10" Type="http://schemas.openxmlformats.org/officeDocument/2006/relationships/hyperlink" Target="#'4.CATALOGO_MEDIDAS'!A1"/><Relationship Id="rId4" Type="http://schemas.openxmlformats.org/officeDocument/2006/relationships/hyperlink" Target="#'2.PESOS'!A1"/><Relationship Id="rId9"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12458</xdr:colOff>
      <xdr:row>1</xdr:row>
      <xdr:rowOff>0</xdr:rowOff>
    </xdr:from>
    <xdr:to>
      <xdr:col>6</xdr:col>
      <xdr:colOff>611605</xdr:colOff>
      <xdr:row>5</xdr:row>
      <xdr:rowOff>661</xdr:rowOff>
    </xdr:to>
    <xdr:pic>
      <xdr:nvPicPr>
        <xdr:cNvPr id="3" name="Imagen 2">
          <a:extLst>
            <a:ext uri="{FF2B5EF4-FFF2-40B4-BE49-F238E27FC236}">
              <a16:creationId xmlns:a16="http://schemas.microsoft.com/office/drawing/2014/main" id="{0D97398B-7D8F-4BE6-BD5F-4C5438E66534}"/>
            </a:ext>
          </a:extLst>
        </xdr:cNvPr>
        <xdr:cNvPicPr>
          <a:picLocks noChangeAspect="1"/>
        </xdr:cNvPicPr>
      </xdr:nvPicPr>
      <xdr:blipFill rotWithShape="1">
        <a:blip xmlns:r="http://schemas.openxmlformats.org/officeDocument/2006/relationships" r:embed="rId1"/>
        <a:srcRect r="31019"/>
        <a:stretch>
          <a:fillRect/>
        </a:stretch>
      </xdr:blipFill>
      <xdr:spPr>
        <a:xfrm>
          <a:off x="995037" y="180474"/>
          <a:ext cx="3897805" cy="719380"/>
        </a:xfrm>
        <a:prstGeom prst="rect">
          <a:avLst/>
        </a:prstGeom>
      </xdr:spPr>
    </xdr:pic>
    <xdr:clientData/>
  </xdr:twoCellAnchor>
  <xdr:twoCellAnchor editAs="oneCell">
    <xdr:from>
      <xdr:col>10</xdr:col>
      <xdr:colOff>5945605</xdr:colOff>
      <xdr:row>28</xdr:row>
      <xdr:rowOff>47228</xdr:rowOff>
    </xdr:from>
    <xdr:to>
      <xdr:col>11</xdr:col>
      <xdr:colOff>3872</xdr:colOff>
      <xdr:row>29</xdr:row>
      <xdr:rowOff>216740</xdr:rowOff>
    </xdr:to>
    <xdr:pic>
      <xdr:nvPicPr>
        <xdr:cNvPr id="2" name="Picture 1">
          <a:extLst>
            <a:ext uri="{FF2B5EF4-FFF2-40B4-BE49-F238E27FC236}">
              <a16:creationId xmlns:a16="http://schemas.microsoft.com/office/drawing/2014/main" id="{B9CBD3B9-E25D-4E32-9930-7E4A11E3AD12}"/>
            </a:ext>
          </a:extLst>
        </xdr:cNvPr>
        <xdr:cNvPicPr>
          <a:picLocks noChangeAspect="1"/>
        </xdr:cNvPicPr>
      </xdr:nvPicPr>
      <xdr:blipFill>
        <a:blip xmlns:r="http://schemas.openxmlformats.org/officeDocument/2006/relationships" r:embed="rId2"/>
        <a:stretch>
          <a:fillRect/>
        </a:stretch>
      </xdr:blipFill>
      <xdr:spPr>
        <a:xfrm>
          <a:off x="11981447" y="5250886"/>
          <a:ext cx="2981287" cy="390091"/>
        </a:xfrm>
        <a:prstGeom prst="rect">
          <a:avLst/>
        </a:prstGeom>
      </xdr:spPr>
    </xdr:pic>
    <xdr:clientData/>
  </xdr:twoCellAnchor>
  <xdr:twoCellAnchor editAs="oneCell">
    <xdr:from>
      <xdr:col>10</xdr:col>
      <xdr:colOff>4268036</xdr:colOff>
      <xdr:row>28</xdr:row>
      <xdr:rowOff>153017</xdr:rowOff>
    </xdr:from>
    <xdr:to>
      <xdr:col>10</xdr:col>
      <xdr:colOff>5871927</xdr:colOff>
      <xdr:row>29</xdr:row>
      <xdr:rowOff>84953</xdr:rowOff>
    </xdr:to>
    <xdr:pic>
      <xdr:nvPicPr>
        <xdr:cNvPr id="4" name="Imagen 3">
          <a:extLst>
            <a:ext uri="{FF2B5EF4-FFF2-40B4-BE49-F238E27FC236}">
              <a16:creationId xmlns:a16="http://schemas.microsoft.com/office/drawing/2014/main" id="{2DDA871F-42E1-755B-3D70-DCE30F01689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303878" y="5356675"/>
          <a:ext cx="1603891" cy="15251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4</xdr:row>
      <xdr:rowOff>635</xdr:rowOff>
    </xdr:from>
    <xdr:to>
      <xdr:col>1</xdr:col>
      <xdr:colOff>2056</xdr:colOff>
      <xdr:row>22</xdr:row>
      <xdr:rowOff>21442</xdr:rowOff>
    </xdr:to>
    <xdr:grpSp>
      <xdr:nvGrpSpPr>
        <xdr:cNvPr id="16" name="Grupo 15">
          <a:extLst>
            <a:ext uri="{FF2B5EF4-FFF2-40B4-BE49-F238E27FC236}">
              <a16:creationId xmlns:a16="http://schemas.microsoft.com/office/drawing/2014/main" id="{F20A3880-CFDC-4AB2-97B4-7B63B13F0DB7}"/>
            </a:ext>
          </a:extLst>
        </xdr:cNvPr>
        <xdr:cNvGrpSpPr/>
      </xdr:nvGrpSpPr>
      <xdr:grpSpPr>
        <a:xfrm>
          <a:off x="0" y="724535"/>
          <a:ext cx="706906" cy="3706982"/>
          <a:chOff x="0" y="746529"/>
          <a:chExt cx="732306" cy="3807871"/>
        </a:xfrm>
      </xdr:grpSpPr>
      <xdr:pic>
        <xdr:nvPicPr>
          <xdr:cNvPr id="17" name="Imagen 16">
            <a:hlinkClick xmlns:r="http://schemas.openxmlformats.org/officeDocument/2006/relationships" r:id="rId1"/>
            <a:extLst>
              <a:ext uri="{FF2B5EF4-FFF2-40B4-BE49-F238E27FC236}">
                <a16:creationId xmlns:a16="http://schemas.microsoft.com/office/drawing/2014/main" id="{A19C623D-89BB-4013-8936-6C6F4FD7361E}"/>
              </a:ext>
            </a:extLst>
          </xdr:cNvPr>
          <xdr:cNvPicPr>
            <a:picLocks noChangeAspect="1"/>
          </xdr:cNvPicPr>
        </xdr:nvPicPr>
        <xdr:blipFill>
          <a:blip xmlns:r="http://schemas.openxmlformats.org/officeDocument/2006/relationships" r:embed="rId2"/>
          <a:stretch>
            <a:fillRect/>
          </a:stretch>
        </xdr:blipFill>
        <xdr:spPr>
          <a:xfrm>
            <a:off x="0" y="3028277"/>
            <a:ext cx="724846" cy="757455"/>
          </a:xfrm>
          <a:prstGeom prst="rect">
            <a:avLst/>
          </a:prstGeom>
        </xdr:spPr>
      </xdr:pic>
      <xdr:pic>
        <xdr:nvPicPr>
          <xdr:cNvPr id="18" name="Imagen 17">
            <a:hlinkClick xmlns:r="http://schemas.openxmlformats.org/officeDocument/2006/relationships" r:id="rId3"/>
            <a:extLst>
              <a:ext uri="{FF2B5EF4-FFF2-40B4-BE49-F238E27FC236}">
                <a16:creationId xmlns:a16="http://schemas.microsoft.com/office/drawing/2014/main" id="{868D8FC9-203B-E947-15D4-CE6B27DB76BB}"/>
              </a:ext>
            </a:extLst>
          </xdr:cNvPr>
          <xdr:cNvPicPr>
            <a:picLocks noChangeAspect="1"/>
          </xdr:cNvPicPr>
        </xdr:nvPicPr>
        <xdr:blipFill>
          <a:blip xmlns:r="http://schemas.openxmlformats.org/officeDocument/2006/relationships" r:embed="rId4"/>
          <a:stretch>
            <a:fillRect/>
          </a:stretch>
        </xdr:blipFill>
        <xdr:spPr>
          <a:xfrm>
            <a:off x="0" y="2272785"/>
            <a:ext cx="724846" cy="763270"/>
          </a:xfrm>
          <a:prstGeom prst="rect">
            <a:avLst/>
          </a:prstGeom>
        </xdr:spPr>
      </xdr:pic>
      <xdr:pic>
        <xdr:nvPicPr>
          <xdr:cNvPr id="19" name="Imagen 18">
            <a:hlinkClick xmlns:r="http://schemas.openxmlformats.org/officeDocument/2006/relationships" r:id="rId5"/>
            <a:extLst>
              <a:ext uri="{FF2B5EF4-FFF2-40B4-BE49-F238E27FC236}">
                <a16:creationId xmlns:a16="http://schemas.microsoft.com/office/drawing/2014/main" id="{41409F5A-E5EB-634A-0A5D-4C623E48E4CA}"/>
              </a:ext>
            </a:extLst>
          </xdr:cNvPr>
          <xdr:cNvPicPr>
            <a:picLocks noChangeAspect="1"/>
          </xdr:cNvPicPr>
        </xdr:nvPicPr>
        <xdr:blipFill>
          <a:blip xmlns:r="http://schemas.openxmlformats.org/officeDocument/2006/relationships" r:embed="rId6"/>
          <a:stretch>
            <a:fillRect/>
          </a:stretch>
        </xdr:blipFill>
        <xdr:spPr>
          <a:xfrm>
            <a:off x="0" y="1509579"/>
            <a:ext cx="724846" cy="763270"/>
          </a:xfrm>
          <a:prstGeom prst="rect">
            <a:avLst/>
          </a:prstGeom>
        </xdr:spPr>
      </xdr:pic>
      <xdr:pic>
        <xdr:nvPicPr>
          <xdr:cNvPr id="20" name="Imagen 19">
            <a:hlinkClick xmlns:r="http://schemas.openxmlformats.org/officeDocument/2006/relationships" r:id="rId7"/>
            <a:extLst>
              <a:ext uri="{FF2B5EF4-FFF2-40B4-BE49-F238E27FC236}">
                <a16:creationId xmlns:a16="http://schemas.microsoft.com/office/drawing/2014/main" id="{B57EC991-95D1-626D-EDD4-0CFBA20F6722}"/>
              </a:ext>
            </a:extLst>
          </xdr:cNvPr>
          <xdr:cNvPicPr>
            <a:picLocks noChangeAspect="1"/>
          </xdr:cNvPicPr>
        </xdr:nvPicPr>
        <xdr:blipFill>
          <a:blip xmlns:r="http://schemas.openxmlformats.org/officeDocument/2006/relationships" r:embed="rId8"/>
          <a:stretch>
            <a:fillRect/>
          </a:stretch>
        </xdr:blipFill>
        <xdr:spPr>
          <a:xfrm>
            <a:off x="7768" y="746529"/>
            <a:ext cx="724538" cy="763116"/>
          </a:xfrm>
          <a:prstGeom prst="rect">
            <a:avLst/>
          </a:prstGeom>
        </xdr:spPr>
      </xdr:pic>
      <xdr:pic>
        <xdr:nvPicPr>
          <xdr:cNvPr id="21" name="Imagen 20">
            <a:hlinkClick xmlns:r="http://schemas.openxmlformats.org/officeDocument/2006/relationships" r:id="rId9"/>
            <a:extLst>
              <a:ext uri="{FF2B5EF4-FFF2-40B4-BE49-F238E27FC236}">
                <a16:creationId xmlns:a16="http://schemas.microsoft.com/office/drawing/2014/main" id="{0867593C-70BC-CE9B-DBF7-F279A3B82944}"/>
              </a:ext>
            </a:extLst>
          </xdr:cNvPr>
          <xdr:cNvPicPr>
            <a:picLocks noChangeAspect="1"/>
          </xdr:cNvPicPr>
        </xdr:nvPicPr>
        <xdr:blipFill>
          <a:blip xmlns:r="http://schemas.openxmlformats.org/officeDocument/2006/relationships" r:embed="rId10"/>
          <a:stretch>
            <a:fillRect/>
          </a:stretch>
        </xdr:blipFill>
        <xdr:spPr>
          <a:xfrm>
            <a:off x="0" y="3784637"/>
            <a:ext cx="725487" cy="769763"/>
          </a:xfrm>
          <a:prstGeom prst="rect">
            <a:avLst/>
          </a:prstGeom>
        </xdr:spPr>
      </xdr:pic>
    </xdr:grpSp>
    <xdr:clientData/>
  </xdr:twoCellAnchor>
  <xdr:twoCellAnchor editAs="oneCell">
    <xdr:from>
      <xdr:col>2</xdr:col>
      <xdr:colOff>0</xdr:colOff>
      <xdr:row>1</xdr:row>
      <xdr:rowOff>0</xdr:rowOff>
    </xdr:from>
    <xdr:to>
      <xdr:col>4</xdr:col>
      <xdr:colOff>741680</xdr:colOff>
      <xdr:row>4</xdr:row>
      <xdr:rowOff>2160</xdr:rowOff>
    </xdr:to>
    <xdr:pic>
      <xdr:nvPicPr>
        <xdr:cNvPr id="2" name="Imagen 1">
          <a:extLst>
            <a:ext uri="{FF2B5EF4-FFF2-40B4-BE49-F238E27FC236}">
              <a16:creationId xmlns:a16="http://schemas.microsoft.com/office/drawing/2014/main" id="{4B57224E-65D7-44B5-9880-4F3AC06AE11F}"/>
            </a:ext>
          </a:extLst>
        </xdr:cNvPr>
        <xdr:cNvPicPr>
          <a:picLocks noChangeAspect="1"/>
        </xdr:cNvPicPr>
      </xdr:nvPicPr>
      <xdr:blipFill rotWithShape="1">
        <a:blip xmlns:r="http://schemas.openxmlformats.org/officeDocument/2006/relationships" r:embed="rId11"/>
        <a:srcRect r="30084"/>
        <a:stretch>
          <a:fillRect/>
        </a:stretch>
      </xdr:blipFill>
      <xdr:spPr>
        <a:xfrm>
          <a:off x="868680" y="182880"/>
          <a:ext cx="2783840" cy="550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295275</xdr:colOff>
      <xdr:row>4</xdr:row>
      <xdr:rowOff>2160</xdr:rowOff>
    </xdr:to>
    <xdr:pic>
      <xdr:nvPicPr>
        <xdr:cNvPr id="3" name="Imagen 2">
          <a:extLst>
            <a:ext uri="{FF2B5EF4-FFF2-40B4-BE49-F238E27FC236}">
              <a16:creationId xmlns:a16="http://schemas.microsoft.com/office/drawing/2014/main" id="{36CE591A-09AB-42E7-9752-80879DD57517}"/>
            </a:ext>
          </a:extLst>
        </xdr:cNvPr>
        <xdr:cNvPicPr>
          <a:picLocks noChangeAspect="1"/>
        </xdr:cNvPicPr>
      </xdr:nvPicPr>
      <xdr:blipFill rotWithShape="1">
        <a:blip xmlns:r="http://schemas.openxmlformats.org/officeDocument/2006/relationships" r:embed="rId1"/>
        <a:srcRect r="30084"/>
        <a:stretch>
          <a:fillRect/>
        </a:stretch>
      </xdr:blipFill>
      <xdr:spPr>
        <a:xfrm>
          <a:off x="885825" y="180975"/>
          <a:ext cx="2828925" cy="545085"/>
        </a:xfrm>
        <a:prstGeom prst="rect">
          <a:avLst/>
        </a:prstGeom>
      </xdr:spPr>
    </xdr:pic>
    <xdr:clientData/>
  </xdr:twoCellAnchor>
  <xdr:twoCellAnchor editAs="absolute">
    <xdr:from>
      <xdr:col>0</xdr:col>
      <xdr:colOff>0</xdr:colOff>
      <xdr:row>4</xdr:row>
      <xdr:rowOff>0</xdr:rowOff>
    </xdr:from>
    <xdr:to>
      <xdr:col>1</xdr:col>
      <xdr:colOff>786</xdr:colOff>
      <xdr:row>15</xdr:row>
      <xdr:rowOff>486579</xdr:rowOff>
    </xdr:to>
    <xdr:grpSp>
      <xdr:nvGrpSpPr>
        <xdr:cNvPr id="16" name="Grupo 15">
          <a:extLst>
            <a:ext uri="{FF2B5EF4-FFF2-40B4-BE49-F238E27FC236}">
              <a16:creationId xmlns:a16="http://schemas.microsoft.com/office/drawing/2014/main" id="{1C0AB6B4-DFB6-4267-B010-4DB7A6D03A57}"/>
            </a:ext>
          </a:extLst>
        </xdr:cNvPr>
        <xdr:cNvGrpSpPr/>
      </xdr:nvGrpSpPr>
      <xdr:grpSpPr>
        <a:xfrm>
          <a:off x="0" y="723900"/>
          <a:ext cx="705636" cy="3753654"/>
          <a:chOff x="0" y="746529"/>
          <a:chExt cx="732306" cy="3807871"/>
        </a:xfrm>
      </xdr:grpSpPr>
      <xdr:pic>
        <xdr:nvPicPr>
          <xdr:cNvPr id="17" name="Imagen 16">
            <a:hlinkClick xmlns:r="http://schemas.openxmlformats.org/officeDocument/2006/relationships" r:id="rId2"/>
            <a:extLst>
              <a:ext uri="{FF2B5EF4-FFF2-40B4-BE49-F238E27FC236}">
                <a16:creationId xmlns:a16="http://schemas.microsoft.com/office/drawing/2014/main" id="{A35B6611-5229-9DE6-4E99-D61B1D32B3C2}"/>
              </a:ext>
            </a:extLst>
          </xdr:cNvPr>
          <xdr:cNvPicPr>
            <a:picLocks noChangeAspect="1"/>
          </xdr:cNvPicPr>
        </xdr:nvPicPr>
        <xdr:blipFill>
          <a:blip xmlns:r="http://schemas.openxmlformats.org/officeDocument/2006/relationships" r:embed="rId3"/>
          <a:stretch>
            <a:fillRect/>
          </a:stretch>
        </xdr:blipFill>
        <xdr:spPr>
          <a:xfrm>
            <a:off x="0" y="3028277"/>
            <a:ext cx="724846" cy="757455"/>
          </a:xfrm>
          <a:prstGeom prst="rect">
            <a:avLst/>
          </a:prstGeom>
        </xdr:spPr>
      </xdr:pic>
      <xdr:pic>
        <xdr:nvPicPr>
          <xdr:cNvPr id="18" name="Imagen 17">
            <a:hlinkClick xmlns:r="http://schemas.openxmlformats.org/officeDocument/2006/relationships" r:id="rId4"/>
            <a:extLst>
              <a:ext uri="{FF2B5EF4-FFF2-40B4-BE49-F238E27FC236}">
                <a16:creationId xmlns:a16="http://schemas.microsoft.com/office/drawing/2014/main" id="{CC7CCF5D-D81A-34FA-1116-498372FCCCB9}"/>
              </a:ext>
            </a:extLst>
          </xdr:cNvPr>
          <xdr:cNvPicPr>
            <a:picLocks noChangeAspect="1"/>
          </xdr:cNvPicPr>
        </xdr:nvPicPr>
        <xdr:blipFill>
          <a:blip xmlns:r="http://schemas.openxmlformats.org/officeDocument/2006/relationships" r:embed="rId5"/>
          <a:stretch>
            <a:fillRect/>
          </a:stretch>
        </xdr:blipFill>
        <xdr:spPr>
          <a:xfrm>
            <a:off x="0" y="2272785"/>
            <a:ext cx="724846" cy="763270"/>
          </a:xfrm>
          <a:prstGeom prst="rect">
            <a:avLst/>
          </a:prstGeom>
        </xdr:spPr>
      </xdr:pic>
      <xdr:pic>
        <xdr:nvPicPr>
          <xdr:cNvPr id="19" name="Imagen 18">
            <a:hlinkClick xmlns:r="http://schemas.openxmlformats.org/officeDocument/2006/relationships" r:id="rId6"/>
            <a:extLst>
              <a:ext uri="{FF2B5EF4-FFF2-40B4-BE49-F238E27FC236}">
                <a16:creationId xmlns:a16="http://schemas.microsoft.com/office/drawing/2014/main" id="{9CC1518F-7702-E5E4-B4CD-46A69055A42A}"/>
              </a:ext>
            </a:extLst>
          </xdr:cNvPr>
          <xdr:cNvPicPr>
            <a:picLocks noChangeAspect="1"/>
          </xdr:cNvPicPr>
        </xdr:nvPicPr>
        <xdr:blipFill>
          <a:blip xmlns:r="http://schemas.openxmlformats.org/officeDocument/2006/relationships" r:embed="rId7"/>
          <a:stretch>
            <a:fillRect/>
          </a:stretch>
        </xdr:blipFill>
        <xdr:spPr>
          <a:xfrm>
            <a:off x="0" y="1509579"/>
            <a:ext cx="724846" cy="763270"/>
          </a:xfrm>
          <a:prstGeom prst="rect">
            <a:avLst/>
          </a:prstGeom>
        </xdr:spPr>
      </xdr:pic>
      <xdr:pic>
        <xdr:nvPicPr>
          <xdr:cNvPr id="20" name="Imagen 19">
            <a:hlinkClick xmlns:r="http://schemas.openxmlformats.org/officeDocument/2006/relationships" r:id="rId8"/>
            <a:extLst>
              <a:ext uri="{FF2B5EF4-FFF2-40B4-BE49-F238E27FC236}">
                <a16:creationId xmlns:a16="http://schemas.microsoft.com/office/drawing/2014/main" id="{5439B7E4-0E50-A9EA-61F0-589A5EB20A12}"/>
              </a:ext>
            </a:extLst>
          </xdr:cNvPr>
          <xdr:cNvPicPr>
            <a:picLocks noChangeAspect="1"/>
          </xdr:cNvPicPr>
        </xdr:nvPicPr>
        <xdr:blipFill>
          <a:blip xmlns:r="http://schemas.openxmlformats.org/officeDocument/2006/relationships" r:embed="rId9"/>
          <a:stretch>
            <a:fillRect/>
          </a:stretch>
        </xdr:blipFill>
        <xdr:spPr>
          <a:xfrm>
            <a:off x="7768" y="746529"/>
            <a:ext cx="724538" cy="763116"/>
          </a:xfrm>
          <a:prstGeom prst="rect">
            <a:avLst/>
          </a:prstGeom>
        </xdr:spPr>
      </xdr:pic>
      <xdr:pic>
        <xdr:nvPicPr>
          <xdr:cNvPr id="21" name="Imagen 20">
            <a:hlinkClick xmlns:r="http://schemas.openxmlformats.org/officeDocument/2006/relationships" r:id="rId10"/>
            <a:extLst>
              <a:ext uri="{FF2B5EF4-FFF2-40B4-BE49-F238E27FC236}">
                <a16:creationId xmlns:a16="http://schemas.microsoft.com/office/drawing/2014/main" id="{6E2DCD52-8D55-B767-0C15-B7A4684BB7DF}"/>
              </a:ext>
            </a:extLst>
          </xdr:cNvPr>
          <xdr:cNvPicPr>
            <a:picLocks noChangeAspect="1"/>
          </xdr:cNvPicPr>
        </xdr:nvPicPr>
        <xdr:blipFill>
          <a:blip xmlns:r="http://schemas.openxmlformats.org/officeDocument/2006/relationships" r:embed="rId11"/>
          <a:stretch>
            <a:fillRect/>
          </a:stretch>
        </xdr:blipFill>
        <xdr:spPr>
          <a:xfrm>
            <a:off x="0" y="3784637"/>
            <a:ext cx="725487" cy="769763"/>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14</xdr:col>
      <xdr:colOff>10665</xdr:colOff>
      <xdr:row>9</xdr:row>
      <xdr:rowOff>7429</xdr:rowOff>
    </xdr:from>
    <xdr:to>
      <xdr:col>16</xdr:col>
      <xdr:colOff>1971418</xdr:colOff>
      <xdr:row>12</xdr:row>
      <xdr:rowOff>11905</xdr:rowOff>
    </xdr:to>
    <xdr:graphicFrame macro="">
      <xdr:nvGraphicFramePr>
        <xdr:cNvPr id="3" name="Chart 1">
          <a:extLst>
            <a:ext uri="{FF2B5EF4-FFF2-40B4-BE49-F238E27FC236}">
              <a16:creationId xmlns:a16="http://schemas.microsoft.com/office/drawing/2014/main" id="{CD3786E1-2265-4E13-9108-FBD7AEE7F8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12</xdr:col>
      <xdr:colOff>6656</xdr:colOff>
      <xdr:row>37</xdr:row>
      <xdr:rowOff>166016</xdr:rowOff>
    </xdr:from>
    <xdr:to>
      <xdr:col>16</xdr:col>
      <xdr:colOff>1970039</xdr:colOff>
      <xdr:row>48</xdr:row>
      <xdr:rowOff>460278</xdr:rowOff>
    </xdr:to>
    <xdr:graphicFrame macro="">
      <xdr:nvGraphicFramePr>
        <xdr:cNvPr id="7" name="Chart 3">
          <a:extLst>
            <a:ext uri="{FF2B5EF4-FFF2-40B4-BE49-F238E27FC236}">
              <a16:creationId xmlns:a16="http://schemas.microsoft.com/office/drawing/2014/main" id="{C2030B11-C522-4D63-BD8C-50F4D45A48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14</xdr:col>
      <xdr:colOff>7675</xdr:colOff>
      <xdr:row>14</xdr:row>
      <xdr:rowOff>9813</xdr:rowOff>
    </xdr:from>
    <xdr:to>
      <xdr:col>17</xdr:col>
      <xdr:colOff>0</xdr:colOff>
      <xdr:row>25</xdr:row>
      <xdr:rowOff>23812</xdr:rowOff>
    </xdr:to>
    <xdr:graphicFrame macro="">
      <xdr:nvGraphicFramePr>
        <xdr:cNvPr id="13" name="Chart 1">
          <a:extLst>
            <a:ext uri="{FF2B5EF4-FFF2-40B4-BE49-F238E27FC236}">
              <a16:creationId xmlns:a16="http://schemas.microsoft.com/office/drawing/2014/main" id="{1877EBE1-9BB0-49A2-ADC4-FBC8A3A61C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12</xdr:col>
      <xdr:colOff>1227</xdr:colOff>
      <xdr:row>66</xdr:row>
      <xdr:rowOff>110875</xdr:rowOff>
    </xdr:from>
    <xdr:to>
      <xdr:col>17</xdr:col>
      <xdr:colOff>2694</xdr:colOff>
      <xdr:row>77</xdr:row>
      <xdr:rowOff>413778</xdr:rowOff>
    </xdr:to>
    <xdr:graphicFrame macro="">
      <xdr:nvGraphicFramePr>
        <xdr:cNvPr id="2" name="Chart 3">
          <a:extLst>
            <a:ext uri="{FF2B5EF4-FFF2-40B4-BE49-F238E27FC236}">
              <a16:creationId xmlns:a16="http://schemas.microsoft.com/office/drawing/2014/main" id="{B740BF6C-3435-4967-994A-460CB5CDE4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1</xdr:colOff>
      <xdr:row>1</xdr:row>
      <xdr:rowOff>0</xdr:rowOff>
    </xdr:from>
    <xdr:to>
      <xdr:col>5</xdr:col>
      <xdr:colOff>1106440</xdr:colOff>
      <xdr:row>3</xdr:row>
      <xdr:rowOff>178265</xdr:rowOff>
    </xdr:to>
    <xdr:pic>
      <xdr:nvPicPr>
        <xdr:cNvPr id="14" name="Imagen 13">
          <a:extLst>
            <a:ext uri="{FF2B5EF4-FFF2-40B4-BE49-F238E27FC236}">
              <a16:creationId xmlns:a16="http://schemas.microsoft.com/office/drawing/2014/main" id="{E13CFF96-F753-40B5-B569-D339E8300017}"/>
            </a:ext>
          </a:extLst>
        </xdr:cNvPr>
        <xdr:cNvPicPr>
          <a:picLocks/>
        </xdr:cNvPicPr>
      </xdr:nvPicPr>
      <xdr:blipFill rotWithShape="1">
        <a:blip xmlns:r="http://schemas.openxmlformats.org/officeDocument/2006/relationships" r:embed="rId5"/>
        <a:srcRect r="30674"/>
        <a:stretch>
          <a:fillRect/>
        </a:stretch>
      </xdr:blipFill>
      <xdr:spPr>
        <a:xfrm>
          <a:off x="885153" y="182803"/>
          <a:ext cx="2799772" cy="543871"/>
        </a:xfrm>
        <a:prstGeom prst="rect">
          <a:avLst/>
        </a:prstGeom>
      </xdr:spPr>
    </xdr:pic>
    <xdr:clientData/>
  </xdr:twoCellAnchor>
  <xdr:twoCellAnchor editAs="absolute">
    <xdr:from>
      <xdr:col>0</xdr:col>
      <xdr:colOff>0</xdr:colOff>
      <xdr:row>4</xdr:row>
      <xdr:rowOff>7284</xdr:rowOff>
    </xdr:from>
    <xdr:to>
      <xdr:col>1</xdr:col>
      <xdr:colOff>975</xdr:colOff>
      <xdr:row>12</xdr:row>
      <xdr:rowOff>600798</xdr:rowOff>
    </xdr:to>
    <xdr:grpSp>
      <xdr:nvGrpSpPr>
        <xdr:cNvPr id="15" name="Grupo 14">
          <a:extLst>
            <a:ext uri="{FF2B5EF4-FFF2-40B4-BE49-F238E27FC236}">
              <a16:creationId xmlns:a16="http://schemas.microsoft.com/office/drawing/2014/main" id="{E09D2316-4B20-4C5D-ABA7-3D7AD4132C18}"/>
            </a:ext>
          </a:extLst>
        </xdr:cNvPr>
        <xdr:cNvGrpSpPr/>
      </xdr:nvGrpSpPr>
      <xdr:grpSpPr>
        <a:xfrm>
          <a:off x="0" y="731184"/>
          <a:ext cx="705825" cy="3736764"/>
          <a:chOff x="0" y="746529"/>
          <a:chExt cx="732306" cy="3807871"/>
        </a:xfrm>
      </xdr:grpSpPr>
      <xdr:pic>
        <xdr:nvPicPr>
          <xdr:cNvPr id="16" name="Imagen 15">
            <a:hlinkClick xmlns:r="http://schemas.openxmlformats.org/officeDocument/2006/relationships" r:id="rId6"/>
            <a:extLst>
              <a:ext uri="{FF2B5EF4-FFF2-40B4-BE49-F238E27FC236}">
                <a16:creationId xmlns:a16="http://schemas.microsoft.com/office/drawing/2014/main" id="{7B51DB2F-7778-4B51-6B5F-C68C047263A2}"/>
              </a:ext>
            </a:extLst>
          </xdr:cNvPr>
          <xdr:cNvPicPr>
            <a:picLocks noChangeAspect="1"/>
          </xdr:cNvPicPr>
        </xdr:nvPicPr>
        <xdr:blipFill>
          <a:blip xmlns:r="http://schemas.openxmlformats.org/officeDocument/2006/relationships" r:embed="rId7"/>
          <a:stretch>
            <a:fillRect/>
          </a:stretch>
        </xdr:blipFill>
        <xdr:spPr>
          <a:xfrm>
            <a:off x="0" y="3028277"/>
            <a:ext cx="724846" cy="757455"/>
          </a:xfrm>
          <a:prstGeom prst="rect">
            <a:avLst/>
          </a:prstGeom>
        </xdr:spPr>
      </xdr:pic>
      <xdr:pic>
        <xdr:nvPicPr>
          <xdr:cNvPr id="17" name="Imagen 16">
            <a:hlinkClick xmlns:r="http://schemas.openxmlformats.org/officeDocument/2006/relationships" r:id="rId8"/>
            <a:extLst>
              <a:ext uri="{FF2B5EF4-FFF2-40B4-BE49-F238E27FC236}">
                <a16:creationId xmlns:a16="http://schemas.microsoft.com/office/drawing/2014/main" id="{0AEE1565-7A0F-F455-340F-06553AD8EACB}"/>
              </a:ext>
            </a:extLst>
          </xdr:cNvPr>
          <xdr:cNvPicPr>
            <a:picLocks noChangeAspect="1"/>
          </xdr:cNvPicPr>
        </xdr:nvPicPr>
        <xdr:blipFill>
          <a:blip xmlns:r="http://schemas.openxmlformats.org/officeDocument/2006/relationships" r:embed="rId9"/>
          <a:stretch>
            <a:fillRect/>
          </a:stretch>
        </xdr:blipFill>
        <xdr:spPr>
          <a:xfrm>
            <a:off x="0" y="2272785"/>
            <a:ext cx="724846" cy="763270"/>
          </a:xfrm>
          <a:prstGeom prst="rect">
            <a:avLst/>
          </a:prstGeom>
        </xdr:spPr>
      </xdr:pic>
      <xdr:pic>
        <xdr:nvPicPr>
          <xdr:cNvPr id="23" name="Imagen 22">
            <a:hlinkClick xmlns:r="http://schemas.openxmlformats.org/officeDocument/2006/relationships" r:id="rId10"/>
            <a:extLst>
              <a:ext uri="{FF2B5EF4-FFF2-40B4-BE49-F238E27FC236}">
                <a16:creationId xmlns:a16="http://schemas.microsoft.com/office/drawing/2014/main" id="{CECF80D9-4314-2C3E-54D4-F1973AE757FE}"/>
              </a:ext>
            </a:extLst>
          </xdr:cNvPr>
          <xdr:cNvPicPr>
            <a:picLocks noChangeAspect="1"/>
          </xdr:cNvPicPr>
        </xdr:nvPicPr>
        <xdr:blipFill>
          <a:blip xmlns:r="http://schemas.openxmlformats.org/officeDocument/2006/relationships" r:embed="rId11"/>
          <a:stretch>
            <a:fillRect/>
          </a:stretch>
        </xdr:blipFill>
        <xdr:spPr>
          <a:xfrm>
            <a:off x="0" y="1509579"/>
            <a:ext cx="724846" cy="763270"/>
          </a:xfrm>
          <a:prstGeom prst="rect">
            <a:avLst/>
          </a:prstGeom>
        </xdr:spPr>
      </xdr:pic>
      <xdr:pic>
        <xdr:nvPicPr>
          <xdr:cNvPr id="24" name="Imagen 23">
            <a:hlinkClick xmlns:r="http://schemas.openxmlformats.org/officeDocument/2006/relationships" r:id="rId12"/>
            <a:extLst>
              <a:ext uri="{FF2B5EF4-FFF2-40B4-BE49-F238E27FC236}">
                <a16:creationId xmlns:a16="http://schemas.microsoft.com/office/drawing/2014/main" id="{6BD24460-CB55-30A5-1618-10EC3C77CCFE}"/>
              </a:ext>
            </a:extLst>
          </xdr:cNvPr>
          <xdr:cNvPicPr>
            <a:picLocks noChangeAspect="1"/>
          </xdr:cNvPicPr>
        </xdr:nvPicPr>
        <xdr:blipFill>
          <a:blip xmlns:r="http://schemas.openxmlformats.org/officeDocument/2006/relationships" r:embed="rId13"/>
          <a:stretch>
            <a:fillRect/>
          </a:stretch>
        </xdr:blipFill>
        <xdr:spPr>
          <a:xfrm>
            <a:off x="7768" y="746529"/>
            <a:ext cx="724538" cy="763116"/>
          </a:xfrm>
          <a:prstGeom prst="rect">
            <a:avLst/>
          </a:prstGeom>
        </xdr:spPr>
      </xdr:pic>
      <xdr:pic>
        <xdr:nvPicPr>
          <xdr:cNvPr id="25" name="Imagen 24">
            <a:hlinkClick xmlns:r="http://schemas.openxmlformats.org/officeDocument/2006/relationships" r:id="rId14"/>
            <a:extLst>
              <a:ext uri="{FF2B5EF4-FFF2-40B4-BE49-F238E27FC236}">
                <a16:creationId xmlns:a16="http://schemas.microsoft.com/office/drawing/2014/main" id="{FDD61FDF-F0C9-3685-722E-D5350BFA119B}"/>
              </a:ext>
            </a:extLst>
          </xdr:cNvPr>
          <xdr:cNvPicPr>
            <a:picLocks noChangeAspect="1"/>
          </xdr:cNvPicPr>
        </xdr:nvPicPr>
        <xdr:blipFill>
          <a:blip xmlns:r="http://schemas.openxmlformats.org/officeDocument/2006/relationships" r:embed="rId15"/>
          <a:stretch>
            <a:fillRect/>
          </a:stretch>
        </xdr:blipFill>
        <xdr:spPr>
          <a:xfrm>
            <a:off x="0" y="3784637"/>
            <a:ext cx="725487" cy="769763"/>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3</xdr:col>
      <xdr:colOff>0</xdr:colOff>
      <xdr:row>6</xdr:row>
      <xdr:rowOff>47492</xdr:rowOff>
    </xdr:from>
    <xdr:to>
      <xdr:col>8</xdr:col>
      <xdr:colOff>1220214</xdr:colOff>
      <xdr:row>15</xdr:row>
      <xdr:rowOff>126327</xdr:rowOff>
    </xdr:to>
    <mc:AlternateContent xmlns:mc="http://schemas.openxmlformats.org/markup-compatibility/2006" xmlns:sle15="http://schemas.microsoft.com/office/drawing/2012/slicer">
      <mc:Choice Requires="sle15">
        <xdr:graphicFrame macro="">
          <xdr:nvGraphicFramePr>
            <xdr:cNvPr id="8" name="TYPE OF MEASURE">
              <a:extLst>
                <a:ext uri="{FF2B5EF4-FFF2-40B4-BE49-F238E27FC236}">
                  <a16:creationId xmlns:a16="http://schemas.microsoft.com/office/drawing/2014/main" id="{8E74E0BE-A2A4-A86C-B70B-3FF5BA58D7FF}"/>
                </a:ext>
              </a:extLst>
            </xdr:cNvPr>
            <xdr:cNvGraphicFramePr/>
          </xdr:nvGraphicFramePr>
          <xdr:xfrm>
            <a:off x="0" y="0"/>
            <a:ext cx="0" cy="0"/>
          </xdr:xfrm>
          <a:graphic>
            <a:graphicData uri="http://schemas.microsoft.com/office/drawing/2010/slicer">
              <sle:slicer xmlns:sle="http://schemas.microsoft.com/office/drawing/2010/slicer" name="TYPE OF MEASURE"/>
            </a:graphicData>
          </a:graphic>
        </xdr:graphicFrame>
      </mc:Choice>
      <mc:Fallback xmlns="">
        <xdr:sp macro="" textlink="">
          <xdr:nvSpPr>
            <xdr:cNvPr id="0" name=""/>
            <xdr:cNvSpPr>
              <a:spLocks noTextEdit="1"/>
            </xdr:cNvSpPr>
          </xdr:nvSpPr>
          <xdr:spPr>
            <a:xfrm>
              <a:off x="1325880" y="1318762"/>
              <a:ext cx="1898451" cy="1718405"/>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8</xdr:col>
      <xdr:colOff>2464565</xdr:colOff>
      <xdr:row>6</xdr:row>
      <xdr:rowOff>47492</xdr:rowOff>
    </xdr:from>
    <xdr:to>
      <xdr:col>8</xdr:col>
      <xdr:colOff>3972926</xdr:colOff>
      <xdr:row>15</xdr:row>
      <xdr:rowOff>126327</xdr:rowOff>
    </xdr:to>
    <mc:AlternateContent xmlns:mc="http://schemas.openxmlformats.org/markup-compatibility/2006" xmlns:sle15="http://schemas.microsoft.com/office/drawing/2012/slicer">
      <mc:Choice Requires="sle15">
        <xdr:graphicFrame macro="">
          <xdr:nvGraphicFramePr>
            <xdr:cNvPr id="10" name="Risk Level">
              <a:extLst>
                <a:ext uri="{FF2B5EF4-FFF2-40B4-BE49-F238E27FC236}">
                  <a16:creationId xmlns:a16="http://schemas.microsoft.com/office/drawing/2014/main" id="{646237DE-0B4E-190C-EF52-9E5FA380068E}"/>
                </a:ext>
              </a:extLst>
            </xdr:cNvPr>
            <xdr:cNvGraphicFramePr/>
          </xdr:nvGraphicFramePr>
          <xdr:xfrm>
            <a:off x="0" y="0"/>
            <a:ext cx="0" cy="0"/>
          </xdr:xfrm>
          <a:graphic>
            <a:graphicData uri="http://schemas.microsoft.com/office/drawing/2010/slicer">
              <sle:slicer xmlns:sle="http://schemas.microsoft.com/office/drawing/2010/slicer" name="Risk Level"/>
            </a:graphicData>
          </a:graphic>
        </xdr:graphicFrame>
      </mc:Choice>
      <mc:Fallback xmlns="">
        <xdr:sp macro="" textlink="">
          <xdr:nvSpPr>
            <xdr:cNvPr id="0" name=""/>
            <xdr:cNvSpPr>
              <a:spLocks noTextEdit="1"/>
            </xdr:cNvSpPr>
          </xdr:nvSpPr>
          <xdr:spPr>
            <a:xfrm>
              <a:off x="4469163" y="1318762"/>
              <a:ext cx="1247831" cy="1718405"/>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8</xdr:col>
      <xdr:colOff>3952597</xdr:colOff>
      <xdr:row>6</xdr:row>
      <xdr:rowOff>47492</xdr:rowOff>
    </xdr:from>
    <xdr:to>
      <xdr:col>8</xdr:col>
      <xdr:colOff>5208147</xdr:colOff>
      <xdr:row>15</xdr:row>
      <xdr:rowOff>126327</xdr:rowOff>
    </xdr:to>
    <mc:AlternateContent xmlns:mc="http://schemas.openxmlformats.org/markup-compatibility/2006" xmlns:sle15="http://schemas.microsoft.com/office/drawing/2012/slicer">
      <mc:Choice Requires="sle15">
        <xdr:graphicFrame macro="">
          <xdr:nvGraphicFramePr>
            <xdr:cNvPr id="11" name="Nº Areas">
              <a:extLst>
                <a:ext uri="{FF2B5EF4-FFF2-40B4-BE49-F238E27FC236}">
                  <a16:creationId xmlns:a16="http://schemas.microsoft.com/office/drawing/2014/main" id="{5825FB35-DE8E-46CF-0BDE-60AD48A91A7D}"/>
                </a:ext>
              </a:extLst>
            </xdr:cNvPr>
            <xdr:cNvGraphicFramePr/>
          </xdr:nvGraphicFramePr>
          <xdr:xfrm>
            <a:off x="0" y="0"/>
            <a:ext cx="0" cy="0"/>
          </xdr:xfrm>
          <a:graphic>
            <a:graphicData uri="http://schemas.microsoft.com/office/drawing/2010/slicer">
              <sle:slicer xmlns:sle="http://schemas.microsoft.com/office/drawing/2010/slicer" name="Nº Areas"/>
            </a:graphicData>
          </a:graphic>
        </xdr:graphicFrame>
      </mc:Choice>
      <mc:Fallback xmlns="">
        <xdr:sp macro="" textlink="">
          <xdr:nvSpPr>
            <xdr:cNvPr id="0" name=""/>
            <xdr:cNvSpPr>
              <a:spLocks noTextEdit="1"/>
            </xdr:cNvSpPr>
          </xdr:nvSpPr>
          <xdr:spPr>
            <a:xfrm>
              <a:off x="5990312" y="1315587"/>
              <a:ext cx="1249200" cy="1718405"/>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8</xdr:col>
      <xdr:colOff>1218963</xdr:colOff>
      <xdr:row>6</xdr:row>
      <xdr:rowOff>47492</xdr:rowOff>
    </xdr:from>
    <xdr:to>
      <xdr:col>8</xdr:col>
      <xdr:colOff>2469488</xdr:colOff>
      <xdr:row>15</xdr:row>
      <xdr:rowOff>126327</xdr:rowOff>
    </xdr:to>
    <mc:AlternateContent xmlns:mc="http://schemas.openxmlformats.org/markup-compatibility/2006" xmlns:sle15="http://schemas.microsoft.com/office/drawing/2012/slicer">
      <mc:Choice Requires="sle15">
        <xdr:graphicFrame macro="">
          <xdr:nvGraphicFramePr>
            <xdr:cNvPr id="12" name="Budget">
              <a:extLst>
                <a:ext uri="{FF2B5EF4-FFF2-40B4-BE49-F238E27FC236}">
                  <a16:creationId xmlns:a16="http://schemas.microsoft.com/office/drawing/2014/main" id="{E8B091DC-4F8D-A68C-2F0A-6D8922D9CB59}"/>
                </a:ext>
              </a:extLst>
            </xdr:cNvPr>
            <xdr:cNvGraphicFramePr/>
          </xdr:nvGraphicFramePr>
          <xdr:xfrm>
            <a:off x="0" y="0"/>
            <a:ext cx="0" cy="0"/>
          </xdr:xfrm>
          <a:graphic>
            <a:graphicData uri="http://schemas.microsoft.com/office/drawing/2010/slicer">
              <sle:slicer xmlns:sle="http://schemas.microsoft.com/office/drawing/2010/slicer" name="Budget"/>
            </a:graphicData>
          </a:graphic>
        </xdr:graphicFrame>
      </mc:Choice>
      <mc:Fallback xmlns="">
        <xdr:sp macro="" textlink="">
          <xdr:nvSpPr>
            <xdr:cNvPr id="0" name=""/>
            <xdr:cNvSpPr>
              <a:spLocks noTextEdit="1"/>
            </xdr:cNvSpPr>
          </xdr:nvSpPr>
          <xdr:spPr>
            <a:xfrm>
              <a:off x="3226255" y="1318762"/>
              <a:ext cx="1247831" cy="1718405"/>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8</xdr:col>
      <xdr:colOff>5203320</xdr:colOff>
      <xdr:row>6</xdr:row>
      <xdr:rowOff>56977</xdr:rowOff>
    </xdr:from>
    <xdr:to>
      <xdr:col>8</xdr:col>
      <xdr:colOff>6545341</xdr:colOff>
      <xdr:row>11</xdr:row>
      <xdr:rowOff>6967</xdr:rowOff>
    </xdr:to>
    <mc:AlternateContent xmlns:mc="http://schemas.openxmlformats.org/markup-compatibility/2006" xmlns:sle15="http://schemas.microsoft.com/office/drawing/2012/slicer">
      <mc:Choice Requires="sle15">
        <xdr:graphicFrame macro="">
          <xdr:nvGraphicFramePr>
            <xdr:cNvPr id="2" name="Buildings">
              <a:extLst>
                <a:ext uri="{FF2B5EF4-FFF2-40B4-BE49-F238E27FC236}">
                  <a16:creationId xmlns:a16="http://schemas.microsoft.com/office/drawing/2014/main" id="{6C599A05-5753-21E1-8C7D-086B41879E5C}"/>
                </a:ext>
              </a:extLst>
            </xdr:cNvPr>
            <xdr:cNvGraphicFramePr/>
          </xdr:nvGraphicFramePr>
          <xdr:xfrm>
            <a:off x="0" y="0"/>
            <a:ext cx="0" cy="0"/>
          </xdr:xfrm>
          <a:graphic>
            <a:graphicData uri="http://schemas.microsoft.com/office/drawing/2010/slicer">
              <sle:slicer xmlns:sle="http://schemas.microsoft.com/office/drawing/2010/slicer" name="Buildings"/>
            </a:graphicData>
          </a:graphic>
        </xdr:graphicFrame>
      </mc:Choice>
      <mc:Fallback xmlns="">
        <xdr:sp macro="" textlink="">
          <xdr:nvSpPr>
            <xdr:cNvPr id="0" name=""/>
            <xdr:cNvSpPr>
              <a:spLocks noTextEdit="1"/>
            </xdr:cNvSpPr>
          </xdr:nvSpPr>
          <xdr:spPr>
            <a:xfrm>
              <a:off x="7237860" y="1321897"/>
              <a:ext cx="1338846" cy="867565"/>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8</xdr:col>
      <xdr:colOff>5203320</xdr:colOff>
      <xdr:row>10</xdr:row>
      <xdr:rowOff>172249</xdr:rowOff>
    </xdr:from>
    <xdr:to>
      <xdr:col>8</xdr:col>
      <xdr:colOff>6545341</xdr:colOff>
      <xdr:row>15</xdr:row>
      <xdr:rowOff>122239</xdr:rowOff>
    </xdr:to>
    <mc:AlternateContent xmlns:mc="http://schemas.openxmlformats.org/markup-compatibility/2006" xmlns:sle15="http://schemas.microsoft.com/office/drawing/2012/slicer">
      <mc:Choice Requires="sle15">
        <xdr:graphicFrame macro="">
          <xdr:nvGraphicFramePr>
            <xdr:cNvPr id="3" name="Urban">
              <a:extLst>
                <a:ext uri="{FF2B5EF4-FFF2-40B4-BE49-F238E27FC236}">
                  <a16:creationId xmlns:a16="http://schemas.microsoft.com/office/drawing/2014/main" id="{7D1C8536-61C9-E40C-7709-6286A6230F48}"/>
                </a:ext>
              </a:extLst>
            </xdr:cNvPr>
            <xdr:cNvGraphicFramePr/>
          </xdr:nvGraphicFramePr>
          <xdr:xfrm>
            <a:off x="0" y="0"/>
            <a:ext cx="0" cy="0"/>
          </xdr:xfrm>
          <a:graphic>
            <a:graphicData uri="http://schemas.microsoft.com/office/drawing/2010/slicer">
              <sle:slicer xmlns:sle="http://schemas.microsoft.com/office/drawing/2010/slicer" name="Urban"/>
            </a:graphicData>
          </a:graphic>
        </xdr:graphicFrame>
      </mc:Choice>
      <mc:Fallback xmlns="">
        <xdr:sp macro="" textlink="">
          <xdr:nvSpPr>
            <xdr:cNvPr id="0" name=""/>
            <xdr:cNvSpPr>
              <a:spLocks noTextEdit="1"/>
            </xdr:cNvSpPr>
          </xdr:nvSpPr>
          <xdr:spPr>
            <a:xfrm>
              <a:off x="7237860" y="2168689"/>
              <a:ext cx="1338846" cy="867565"/>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8</xdr:col>
      <xdr:colOff>6542065</xdr:colOff>
      <xdr:row>6</xdr:row>
      <xdr:rowOff>56977</xdr:rowOff>
    </xdr:from>
    <xdr:to>
      <xdr:col>9</xdr:col>
      <xdr:colOff>885797</xdr:colOff>
      <xdr:row>11</xdr:row>
      <xdr:rowOff>6967</xdr:rowOff>
    </xdr:to>
    <mc:AlternateContent xmlns:mc="http://schemas.openxmlformats.org/markup-compatibility/2006" xmlns:sle15="http://schemas.microsoft.com/office/drawing/2012/slicer">
      <mc:Choice Requires="sle15">
        <xdr:graphicFrame macro="">
          <xdr:nvGraphicFramePr>
            <xdr:cNvPr id="4" name="Culture">
              <a:extLst>
                <a:ext uri="{FF2B5EF4-FFF2-40B4-BE49-F238E27FC236}">
                  <a16:creationId xmlns:a16="http://schemas.microsoft.com/office/drawing/2014/main" id="{9B9687F0-E197-8EB6-A26E-476891E7B2F2}"/>
                </a:ext>
              </a:extLst>
            </xdr:cNvPr>
            <xdr:cNvGraphicFramePr/>
          </xdr:nvGraphicFramePr>
          <xdr:xfrm>
            <a:off x="0" y="0"/>
            <a:ext cx="0" cy="0"/>
          </xdr:xfrm>
          <a:graphic>
            <a:graphicData uri="http://schemas.microsoft.com/office/drawing/2010/slicer">
              <sle:slicer xmlns:sle="http://schemas.microsoft.com/office/drawing/2010/slicer" name="Culture"/>
            </a:graphicData>
          </a:graphic>
        </xdr:graphicFrame>
      </mc:Choice>
      <mc:Fallback xmlns="">
        <xdr:sp macro="" textlink="">
          <xdr:nvSpPr>
            <xdr:cNvPr id="0" name=""/>
            <xdr:cNvSpPr>
              <a:spLocks noTextEdit="1"/>
            </xdr:cNvSpPr>
          </xdr:nvSpPr>
          <xdr:spPr>
            <a:xfrm>
              <a:off x="8579780" y="1321897"/>
              <a:ext cx="1255072" cy="867565"/>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8</xdr:col>
      <xdr:colOff>6542065</xdr:colOff>
      <xdr:row>10</xdr:row>
      <xdr:rowOff>172249</xdr:rowOff>
    </xdr:from>
    <xdr:to>
      <xdr:col>9</xdr:col>
      <xdr:colOff>885797</xdr:colOff>
      <xdr:row>15</xdr:row>
      <xdr:rowOff>122239</xdr:rowOff>
    </xdr:to>
    <mc:AlternateContent xmlns:mc="http://schemas.openxmlformats.org/markup-compatibility/2006" xmlns:sle15="http://schemas.microsoft.com/office/drawing/2012/slicer">
      <mc:Choice Requires="sle15">
        <xdr:graphicFrame macro="">
          <xdr:nvGraphicFramePr>
            <xdr:cNvPr id="5" name="Tourism ">
              <a:extLst>
                <a:ext uri="{FF2B5EF4-FFF2-40B4-BE49-F238E27FC236}">
                  <a16:creationId xmlns:a16="http://schemas.microsoft.com/office/drawing/2014/main" id="{7AD753DF-4775-CCBF-473E-F8DA26A1147C}"/>
                </a:ext>
              </a:extLst>
            </xdr:cNvPr>
            <xdr:cNvGraphicFramePr/>
          </xdr:nvGraphicFramePr>
          <xdr:xfrm>
            <a:off x="0" y="0"/>
            <a:ext cx="0" cy="0"/>
          </xdr:xfrm>
          <a:graphic>
            <a:graphicData uri="http://schemas.microsoft.com/office/drawing/2010/slicer">
              <sle:slicer xmlns:sle="http://schemas.microsoft.com/office/drawing/2010/slicer" name="Tourism "/>
            </a:graphicData>
          </a:graphic>
        </xdr:graphicFrame>
      </mc:Choice>
      <mc:Fallback xmlns="">
        <xdr:sp macro="" textlink="">
          <xdr:nvSpPr>
            <xdr:cNvPr id="0" name=""/>
            <xdr:cNvSpPr>
              <a:spLocks noTextEdit="1"/>
            </xdr:cNvSpPr>
          </xdr:nvSpPr>
          <xdr:spPr>
            <a:xfrm>
              <a:off x="8579780" y="2168689"/>
              <a:ext cx="1255072" cy="867565"/>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9</xdr:col>
      <xdr:colOff>860296</xdr:colOff>
      <xdr:row>6</xdr:row>
      <xdr:rowOff>56977</xdr:rowOff>
    </xdr:from>
    <xdr:to>
      <xdr:col>9</xdr:col>
      <xdr:colOff>2113348</xdr:colOff>
      <xdr:row>11</xdr:row>
      <xdr:rowOff>6967</xdr:rowOff>
    </xdr:to>
    <mc:AlternateContent xmlns:mc="http://schemas.openxmlformats.org/markup-compatibility/2006" xmlns:sle15="http://schemas.microsoft.com/office/drawing/2012/slicer">
      <mc:Choice Requires="sle15">
        <xdr:graphicFrame macro="">
          <xdr:nvGraphicFramePr>
            <xdr:cNvPr id="6" name="Occupational">
              <a:extLst>
                <a:ext uri="{FF2B5EF4-FFF2-40B4-BE49-F238E27FC236}">
                  <a16:creationId xmlns:a16="http://schemas.microsoft.com/office/drawing/2014/main" id="{3D454043-E478-06AD-E3D3-750B58C6D226}"/>
                </a:ext>
              </a:extLst>
            </xdr:cNvPr>
            <xdr:cNvGraphicFramePr/>
          </xdr:nvGraphicFramePr>
          <xdr:xfrm>
            <a:off x="0" y="0"/>
            <a:ext cx="0" cy="0"/>
          </xdr:xfrm>
          <a:graphic>
            <a:graphicData uri="http://schemas.microsoft.com/office/drawing/2010/slicer">
              <sle:slicer xmlns:sle="http://schemas.microsoft.com/office/drawing/2010/slicer" name="Occupational"/>
            </a:graphicData>
          </a:graphic>
        </xdr:graphicFrame>
      </mc:Choice>
      <mc:Fallback xmlns="">
        <xdr:sp macro="" textlink="">
          <xdr:nvSpPr>
            <xdr:cNvPr id="0" name=""/>
            <xdr:cNvSpPr>
              <a:spLocks noTextEdit="1"/>
            </xdr:cNvSpPr>
          </xdr:nvSpPr>
          <xdr:spPr>
            <a:xfrm>
              <a:off x="9806176" y="1321897"/>
              <a:ext cx="1253052" cy="867565"/>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9</xdr:col>
      <xdr:colOff>860296</xdr:colOff>
      <xdr:row>10</xdr:row>
      <xdr:rowOff>172249</xdr:rowOff>
    </xdr:from>
    <xdr:to>
      <xdr:col>9</xdr:col>
      <xdr:colOff>2113348</xdr:colOff>
      <xdr:row>15</xdr:row>
      <xdr:rowOff>122239</xdr:rowOff>
    </xdr:to>
    <mc:AlternateContent xmlns:mc="http://schemas.openxmlformats.org/markup-compatibility/2006" xmlns:sle15="http://schemas.microsoft.com/office/drawing/2012/slicer">
      <mc:Choice Requires="sle15">
        <xdr:graphicFrame macro="">
          <xdr:nvGraphicFramePr>
            <xdr:cNvPr id="7" name="Education ">
              <a:extLst>
                <a:ext uri="{FF2B5EF4-FFF2-40B4-BE49-F238E27FC236}">
                  <a16:creationId xmlns:a16="http://schemas.microsoft.com/office/drawing/2014/main" id="{4B17FEA3-DFB4-0CCE-2593-D70E1DC14443}"/>
                </a:ext>
              </a:extLst>
            </xdr:cNvPr>
            <xdr:cNvGraphicFramePr/>
          </xdr:nvGraphicFramePr>
          <xdr:xfrm>
            <a:off x="0" y="0"/>
            <a:ext cx="0" cy="0"/>
          </xdr:xfrm>
          <a:graphic>
            <a:graphicData uri="http://schemas.microsoft.com/office/drawing/2010/slicer">
              <sle:slicer xmlns:sle="http://schemas.microsoft.com/office/drawing/2010/slicer" name="Education "/>
            </a:graphicData>
          </a:graphic>
        </xdr:graphicFrame>
      </mc:Choice>
      <mc:Fallback xmlns="">
        <xdr:sp macro="" textlink="">
          <xdr:nvSpPr>
            <xdr:cNvPr id="0" name=""/>
            <xdr:cNvSpPr>
              <a:spLocks noTextEdit="1"/>
            </xdr:cNvSpPr>
          </xdr:nvSpPr>
          <xdr:spPr>
            <a:xfrm>
              <a:off x="9806176" y="2168689"/>
              <a:ext cx="1253052" cy="867565"/>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9</xdr:col>
      <xdr:colOff>2088342</xdr:colOff>
      <xdr:row>6</xdr:row>
      <xdr:rowOff>56977</xdr:rowOff>
    </xdr:from>
    <xdr:to>
      <xdr:col>9</xdr:col>
      <xdr:colOff>3344199</xdr:colOff>
      <xdr:row>11</xdr:row>
      <xdr:rowOff>6967</xdr:rowOff>
    </xdr:to>
    <mc:AlternateContent xmlns:mc="http://schemas.openxmlformats.org/markup-compatibility/2006" xmlns:sle15="http://schemas.microsoft.com/office/drawing/2012/slicer">
      <mc:Choice Requires="sle15">
        <xdr:graphicFrame macro="">
          <xdr:nvGraphicFramePr>
            <xdr:cNvPr id="9" name="Social">
              <a:extLst>
                <a:ext uri="{FF2B5EF4-FFF2-40B4-BE49-F238E27FC236}">
                  <a16:creationId xmlns:a16="http://schemas.microsoft.com/office/drawing/2014/main" id="{ED1EA646-B9E8-9189-7349-9DBECCFF490E}"/>
                </a:ext>
              </a:extLst>
            </xdr:cNvPr>
            <xdr:cNvGraphicFramePr/>
          </xdr:nvGraphicFramePr>
          <xdr:xfrm>
            <a:off x="0" y="0"/>
            <a:ext cx="0" cy="0"/>
          </xdr:xfrm>
          <a:graphic>
            <a:graphicData uri="http://schemas.microsoft.com/office/drawing/2010/slicer">
              <sle:slicer xmlns:sle="http://schemas.microsoft.com/office/drawing/2010/slicer" name="Social"/>
            </a:graphicData>
          </a:graphic>
        </xdr:graphicFrame>
      </mc:Choice>
      <mc:Fallback xmlns="">
        <xdr:sp macro="" textlink="">
          <xdr:nvSpPr>
            <xdr:cNvPr id="0" name=""/>
            <xdr:cNvSpPr>
              <a:spLocks noTextEdit="1"/>
            </xdr:cNvSpPr>
          </xdr:nvSpPr>
          <xdr:spPr>
            <a:xfrm>
              <a:off x="11031047" y="1321897"/>
              <a:ext cx="1255857" cy="867565"/>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9</xdr:col>
      <xdr:colOff>2088342</xdr:colOff>
      <xdr:row>10</xdr:row>
      <xdr:rowOff>172249</xdr:rowOff>
    </xdr:from>
    <xdr:to>
      <xdr:col>9</xdr:col>
      <xdr:colOff>3344199</xdr:colOff>
      <xdr:row>15</xdr:row>
      <xdr:rowOff>122239</xdr:rowOff>
    </xdr:to>
    <mc:AlternateContent xmlns:mc="http://schemas.openxmlformats.org/markup-compatibility/2006" xmlns:sle15="http://schemas.microsoft.com/office/drawing/2012/slicer">
      <mc:Choice Requires="sle15">
        <xdr:graphicFrame macro="">
          <xdr:nvGraphicFramePr>
            <xdr:cNvPr id="13" name="Emergency">
              <a:extLst>
                <a:ext uri="{FF2B5EF4-FFF2-40B4-BE49-F238E27FC236}">
                  <a16:creationId xmlns:a16="http://schemas.microsoft.com/office/drawing/2014/main" id="{50093824-6769-8893-8733-542F081B8987}"/>
                </a:ext>
              </a:extLst>
            </xdr:cNvPr>
            <xdr:cNvGraphicFramePr/>
          </xdr:nvGraphicFramePr>
          <xdr:xfrm>
            <a:off x="0" y="0"/>
            <a:ext cx="0" cy="0"/>
          </xdr:xfrm>
          <a:graphic>
            <a:graphicData uri="http://schemas.microsoft.com/office/drawing/2010/slicer">
              <sle:slicer xmlns:sle="http://schemas.microsoft.com/office/drawing/2010/slicer" name="Emergency"/>
            </a:graphicData>
          </a:graphic>
        </xdr:graphicFrame>
      </mc:Choice>
      <mc:Fallback xmlns="">
        <xdr:sp macro="" textlink="">
          <xdr:nvSpPr>
            <xdr:cNvPr id="0" name=""/>
            <xdr:cNvSpPr>
              <a:spLocks noTextEdit="1"/>
            </xdr:cNvSpPr>
          </xdr:nvSpPr>
          <xdr:spPr>
            <a:xfrm>
              <a:off x="11031047" y="2168689"/>
              <a:ext cx="1255857" cy="867565"/>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9</xdr:col>
      <xdr:colOff>3344199</xdr:colOff>
      <xdr:row>6</xdr:row>
      <xdr:rowOff>56977</xdr:rowOff>
    </xdr:from>
    <xdr:to>
      <xdr:col>24</xdr:col>
      <xdr:colOff>246754</xdr:colOff>
      <xdr:row>11</xdr:row>
      <xdr:rowOff>6967</xdr:rowOff>
    </xdr:to>
    <mc:AlternateContent xmlns:mc="http://schemas.openxmlformats.org/markup-compatibility/2006" xmlns:sle15="http://schemas.microsoft.com/office/drawing/2012/slicer">
      <mc:Choice Requires="sle15">
        <xdr:graphicFrame macro="">
          <xdr:nvGraphicFramePr>
            <xdr:cNvPr id="25" name="Parks">
              <a:extLst>
                <a:ext uri="{FF2B5EF4-FFF2-40B4-BE49-F238E27FC236}">
                  <a16:creationId xmlns:a16="http://schemas.microsoft.com/office/drawing/2014/main" id="{2D6842AE-B0EC-B7BE-8D89-00B7E292B3C9}"/>
                </a:ext>
              </a:extLst>
            </xdr:cNvPr>
            <xdr:cNvGraphicFramePr/>
          </xdr:nvGraphicFramePr>
          <xdr:xfrm>
            <a:off x="0" y="0"/>
            <a:ext cx="0" cy="0"/>
          </xdr:xfrm>
          <a:graphic>
            <a:graphicData uri="http://schemas.microsoft.com/office/drawing/2010/slicer">
              <sle:slicer xmlns:sle="http://schemas.microsoft.com/office/drawing/2010/slicer" name="Parks"/>
            </a:graphicData>
          </a:graphic>
        </xdr:graphicFrame>
      </mc:Choice>
      <mc:Fallback xmlns="">
        <xdr:sp macro="" textlink="">
          <xdr:nvSpPr>
            <xdr:cNvPr id="0" name=""/>
            <xdr:cNvSpPr>
              <a:spLocks noTextEdit="1"/>
            </xdr:cNvSpPr>
          </xdr:nvSpPr>
          <xdr:spPr>
            <a:xfrm>
              <a:off x="12286904" y="1321897"/>
              <a:ext cx="1233890" cy="867565"/>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9</xdr:col>
      <xdr:colOff>3344199</xdr:colOff>
      <xdr:row>10</xdr:row>
      <xdr:rowOff>172249</xdr:rowOff>
    </xdr:from>
    <xdr:to>
      <xdr:col>24</xdr:col>
      <xdr:colOff>246754</xdr:colOff>
      <xdr:row>15</xdr:row>
      <xdr:rowOff>122239</xdr:rowOff>
    </xdr:to>
    <mc:AlternateContent xmlns:mc="http://schemas.openxmlformats.org/markup-compatibility/2006" xmlns:sle15="http://schemas.microsoft.com/office/drawing/2012/slicer">
      <mc:Choice Requires="sle15">
        <xdr:graphicFrame macro="">
          <xdr:nvGraphicFramePr>
            <xdr:cNvPr id="34" name="Transport ">
              <a:extLst>
                <a:ext uri="{FF2B5EF4-FFF2-40B4-BE49-F238E27FC236}">
                  <a16:creationId xmlns:a16="http://schemas.microsoft.com/office/drawing/2014/main" id="{98DACC5E-3DD4-E041-CA9B-730C485F0C6D}"/>
                </a:ext>
              </a:extLst>
            </xdr:cNvPr>
            <xdr:cNvGraphicFramePr/>
          </xdr:nvGraphicFramePr>
          <xdr:xfrm>
            <a:off x="0" y="0"/>
            <a:ext cx="0" cy="0"/>
          </xdr:xfrm>
          <a:graphic>
            <a:graphicData uri="http://schemas.microsoft.com/office/drawing/2010/slicer">
              <sle:slicer xmlns:sle="http://schemas.microsoft.com/office/drawing/2010/slicer" name="Transport "/>
            </a:graphicData>
          </a:graphic>
        </xdr:graphicFrame>
      </mc:Choice>
      <mc:Fallback xmlns="">
        <xdr:sp macro="" textlink="">
          <xdr:nvSpPr>
            <xdr:cNvPr id="0" name=""/>
            <xdr:cNvSpPr>
              <a:spLocks noTextEdit="1"/>
            </xdr:cNvSpPr>
          </xdr:nvSpPr>
          <xdr:spPr>
            <a:xfrm>
              <a:off x="12286904" y="2168689"/>
              <a:ext cx="1233890" cy="867565"/>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24</xdr:col>
      <xdr:colOff>246653</xdr:colOff>
      <xdr:row>10</xdr:row>
      <xdr:rowOff>172249</xdr:rowOff>
    </xdr:from>
    <xdr:to>
      <xdr:col>26</xdr:col>
      <xdr:colOff>857150</xdr:colOff>
      <xdr:row>15</xdr:row>
      <xdr:rowOff>122239</xdr:rowOff>
    </xdr:to>
    <mc:AlternateContent xmlns:mc="http://schemas.openxmlformats.org/markup-compatibility/2006" xmlns:sle15="http://schemas.microsoft.com/office/drawing/2012/slicer">
      <mc:Choice Requires="sle15">
        <xdr:graphicFrame macro="">
          <xdr:nvGraphicFramePr>
            <xdr:cNvPr id="35" name="Coordination ">
              <a:extLst>
                <a:ext uri="{FF2B5EF4-FFF2-40B4-BE49-F238E27FC236}">
                  <a16:creationId xmlns:a16="http://schemas.microsoft.com/office/drawing/2014/main" id="{6A82BC65-D9D2-E290-E53F-918A3CA5F57C}"/>
                </a:ext>
              </a:extLst>
            </xdr:cNvPr>
            <xdr:cNvGraphicFramePr/>
          </xdr:nvGraphicFramePr>
          <xdr:xfrm>
            <a:off x="0" y="0"/>
            <a:ext cx="0" cy="0"/>
          </xdr:xfrm>
          <a:graphic>
            <a:graphicData uri="http://schemas.microsoft.com/office/drawing/2010/slicer">
              <sle:slicer xmlns:sle="http://schemas.microsoft.com/office/drawing/2010/slicer" name="Coordination "/>
            </a:graphicData>
          </a:graphic>
        </xdr:graphicFrame>
      </mc:Choice>
      <mc:Fallback xmlns="">
        <xdr:sp macro="" textlink="">
          <xdr:nvSpPr>
            <xdr:cNvPr id="0" name=""/>
            <xdr:cNvSpPr>
              <a:spLocks noTextEdit="1"/>
            </xdr:cNvSpPr>
          </xdr:nvSpPr>
          <xdr:spPr>
            <a:xfrm>
              <a:off x="13520693" y="2168689"/>
              <a:ext cx="1258197" cy="867565"/>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oneCell">
    <xdr:from>
      <xdr:col>2</xdr:col>
      <xdr:colOff>0</xdr:colOff>
      <xdr:row>1</xdr:row>
      <xdr:rowOff>0</xdr:rowOff>
    </xdr:from>
    <xdr:to>
      <xdr:col>8</xdr:col>
      <xdr:colOff>1676015</xdr:colOff>
      <xdr:row>4</xdr:row>
      <xdr:rowOff>8935</xdr:rowOff>
    </xdr:to>
    <xdr:pic>
      <xdr:nvPicPr>
        <xdr:cNvPr id="28" name="Imagen 27">
          <a:extLst>
            <a:ext uri="{FF2B5EF4-FFF2-40B4-BE49-F238E27FC236}">
              <a16:creationId xmlns:a16="http://schemas.microsoft.com/office/drawing/2014/main" id="{EC048C19-045F-4C29-A3B1-4B4A4B7426B0}"/>
            </a:ext>
          </a:extLst>
        </xdr:cNvPr>
        <xdr:cNvPicPr>
          <a:picLocks/>
        </xdr:cNvPicPr>
      </xdr:nvPicPr>
      <xdr:blipFill rotWithShape="1">
        <a:blip xmlns:r="http://schemas.openxmlformats.org/officeDocument/2006/relationships" r:embed="rId1"/>
        <a:srcRect r="29932"/>
        <a:stretch>
          <a:fillRect/>
        </a:stretch>
      </xdr:blipFill>
      <xdr:spPr>
        <a:xfrm>
          <a:off x="885152" y="182803"/>
          <a:ext cx="2838257" cy="557344"/>
        </a:xfrm>
        <a:prstGeom prst="rect">
          <a:avLst/>
        </a:prstGeom>
      </xdr:spPr>
    </xdr:pic>
    <xdr:clientData/>
  </xdr:twoCellAnchor>
  <xdr:twoCellAnchor editAs="absolute">
    <xdr:from>
      <xdr:col>0</xdr:col>
      <xdr:colOff>0</xdr:colOff>
      <xdr:row>4</xdr:row>
      <xdr:rowOff>7620</xdr:rowOff>
    </xdr:from>
    <xdr:to>
      <xdr:col>1</xdr:col>
      <xdr:colOff>1094</xdr:colOff>
      <xdr:row>135</xdr:row>
      <xdr:rowOff>181521</xdr:rowOff>
    </xdr:to>
    <xdr:grpSp>
      <xdr:nvGrpSpPr>
        <xdr:cNvPr id="31" name="Grupo 30">
          <a:extLst>
            <a:ext uri="{FF2B5EF4-FFF2-40B4-BE49-F238E27FC236}">
              <a16:creationId xmlns:a16="http://schemas.microsoft.com/office/drawing/2014/main" id="{17A69EA4-FE62-B1A5-3015-B2B9E94526A7}"/>
            </a:ext>
          </a:extLst>
        </xdr:cNvPr>
        <xdr:cNvGrpSpPr/>
      </xdr:nvGrpSpPr>
      <xdr:grpSpPr>
        <a:xfrm>
          <a:off x="0" y="731520"/>
          <a:ext cx="705944" cy="3764826"/>
          <a:chOff x="0" y="746529"/>
          <a:chExt cx="732306" cy="3807871"/>
        </a:xfrm>
      </xdr:grpSpPr>
      <xdr:pic>
        <xdr:nvPicPr>
          <xdr:cNvPr id="23" name="Imagen 22">
            <a:hlinkClick xmlns:r="http://schemas.openxmlformats.org/officeDocument/2006/relationships" r:id="rId2"/>
            <a:extLst>
              <a:ext uri="{FF2B5EF4-FFF2-40B4-BE49-F238E27FC236}">
                <a16:creationId xmlns:a16="http://schemas.microsoft.com/office/drawing/2014/main" id="{B966600C-EBF7-F9C0-5C1A-4A4992F689EB}"/>
              </a:ext>
            </a:extLst>
          </xdr:cNvPr>
          <xdr:cNvPicPr>
            <a:picLocks noChangeAspect="1"/>
          </xdr:cNvPicPr>
        </xdr:nvPicPr>
        <xdr:blipFill>
          <a:blip xmlns:r="http://schemas.openxmlformats.org/officeDocument/2006/relationships" r:embed="rId3"/>
          <a:stretch>
            <a:fillRect/>
          </a:stretch>
        </xdr:blipFill>
        <xdr:spPr>
          <a:xfrm>
            <a:off x="0" y="3028277"/>
            <a:ext cx="724846" cy="757455"/>
          </a:xfrm>
          <a:prstGeom prst="rect">
            <a:avLst/>
          </a:prstGeom>
        </xdr:spPr>
      </xdr:pic>
      <xdr:pic>
        <xdr:nvPicPr>
          <xdr:cNvPr id="24" name="Imagen 23">
            <a:hlinkClick xmlns:r="http://schemas.openxmlformats.org/officeDocument/2006/relationships" r:id="rId4"/>
            <a:extLst>
              <a:ext uri="{FF2B5EF4-FFF2-40B4-BE49-F238E27FC236}">
                <a16:creationId xmlns:a16="http://schemas.microsoft.com/office/drawing/2014/main" id="{23B3E358-F9F6-7D7B-31C3-A579BD5611F7}"/>
              </a:ext>
            </a:extLst>
          </xdr:cNvPr>
          <xdr:cNvPicPr>
            <a:picLocks noChangeAspect="1"/>
          </xdr:cNvPicPr>
        </xdr:nvPicPr>
        <xdr:blipFill>
          <a:blip xmlns:r="http://schemas.openxmlformats.org/officeDocument/2006/relationships" r:embed="rId5"/>
          <a:stretch>
            <a:fillRect/>
          </a:stretch>
        </xdr:blipFill>
        <xdr:spPr>
          <a:xfrm>
            <a:off x="0" y="2272785"/>
            <a:ext cx="724846" cy="763270"/>
          </a:xfrm>
          <a:prstGeom prst="rect">
            <a:avLst/>
          </a:prstGeom>
        </xdr:spPr>
      </xdr:pic>
      <xdr:pic>
        <xdr:nvPicPr>
          <xdr:cNvPr id="26" name="Imagen 25">
            <a:hlinkClick xmlns:r="http://schemas.openxmlformats.org/officeDocument/2006/relationships" r:id="rId6"/>
            <a:extLst>
              <a:ext uri="{FF2B5EF4-FFF2-40B4-BE49-F238E27FC236}">
                <a16:creationId xmlns:a16="http://schemas.microsoft.com/office/drawing/2014/main" id="{766D3602-8D95-8FD8-7E64-51D113B7AC1B}"/>
              </a:ext>
            </a:extLst>
          </xdr:cNvPr>
          <xdr:cNvPicPr>
            <a:picLocks noChangeAspect="1"/>
          </xdr:cNvPicPr>
        </xdr:nvPicPr>
        <xdr:blipFill>
          <a:blip xmlns:r="http://schemas.openxmlformats.org/officeDocument/2006/relationships" r:embed="rId7"/>
          <a:stretch>
            <a:fillRect/>
          </a:stretch>
        </xdr:blipFill>
        <xdr:spPr>
          <a:xfrm>
            <a:off x="0" y="1509579"/>
            <a:ext cx="724846" cy="763270"/>
          </a:xfrm>
          <a:prstGeom prst="rect">
            <a:avLst/>
          </a:prstGeom>
        </xdr:spPr>
      </xdr:pic>
      <xdr:pic>
        <xdr:nvPicPr>
          <xdr:cNvPr id="27" name="Imagen 26">
            <a:hlinkClick xmlns:r="http://schemas.openxmlformats.org/officeDocument/2006/relationships" r:id="rId8"/>
            <a:extLst>
              <a:ext uri="{FF2B5EF4-FFF2-40B4-BE49-F238E27FC236}">
                <a16:creationId xmlns:a16="http://schemas.microsoft.com/office/drawing/2014/main" id="{B5B4FF63-2CA9-A54B-1370-B590EF997E0E}"/>
              </a:ext>
            </a:extLst>
          </xdr:cNvPr>
          <xdr:cNvPicPr>
            <a:picLocks noChangeAspect="1"/>
          </xdr:cNvPicPr>
        </xdr:nvPicPr>
        <xdr:blipFill>
          <a:blip xmlns:r="http://schemas.openxmlformats.org/officeDocument/2006/relationships" r:embed="rId9"/>
          <a:stretch>
            <a:fillRect/>
          </a:stretch>
        </xdr:blipFill>
        <xdr:spPr>
          <a:xfrm>
            <a:off x="7768" y="746529"/>
            <a:ext cx="724538" cy="763116"/>
          </a:xfrm>
          <a:prstGeom prst="rect">
            <a:avLst/>
          </a:prstGeom>
        </xdr:spPr>
      </xdr:pic>
      <xdr:pic>
        <xdr:nvPicPr>
          <xdr:cNvPr id="30" name="Imagen 29">
            <a:hlinkClick xmlns:r="http://schemas.openxmlformats.org/officeDocument/2006/relationships" r:id="rId10"/>
            <a:extLst>
              <a:ext uri="{FF2B5EF4-FFF2-40B4-BE49-F238E27FC236}">
                <a16:creationId xmlns:a16="http://schemas.microsoft.com/office/drawing/2014/main" id="{70857326-8D4F-A98B-B429-220FB8BEDC58}"/>
              </a:ext>
            </a:extLst>
          </xdr:cNvPr>
          <xdr:cNvPicPr>
            <a:picLocks noChangeAspect="1"/>
          </xdr:cNvPicPr>
        </xdr:nvPicPr>
        <xdr:blipFill>
          <a:blip xmlns:r="http://schemas.openxmlformats.org/officeDocument/2006/relationships" r:embed="rId11"/>
          <a:stretch>
            <a:fillRect/>
          </a:stretch>
        </xdr:blipFill>
        <xdr:spPr>
          <a:xfrm>
            <a:off x="0" y="3784637"/>
            <a:ext cx="725487" cy="769763"/>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RESUL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s>
    <sheetDataSet>
      <sheetData sheetId="0"/>
    </sheetDataSet>
  </externalBook>
</externalLink>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ipo_Medida" xr10:uid="{05AF6BF8-57B8-49E3-9148-5F2613DFB8AD}" sourceName="TIPO DE MEDIDA">
  <extLst>
    <x:ext xmlns:x15="http://schemas.microsoft.com/office/spreadsheetml/2010/11/main" uri="{2F2917AC-EB37-4324-AD4E-5DD8C200BD13}">
      <x15:tableSlicerCache tableId="1" column="2"/>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Educación" xr10:uid="{B6A92B10-8AE4-4675-A3D6-F1A50EA1654E}" sourceName="Educac.">
  <extLst>
    <x:ext xmlns:x15="http://schemas.microsoft.com/office/spreadsheetml/2010/11/main" uri="{2F2917AC-EB37-4324-AD4E-5DD8C200BD13}">
      <x15:tableSlicerCache tableId="1" column="31" sortOrder="descending"/>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Social" xr10:uid="{D90B608A-9D5D-439B-97C9-03535483D8F8}" sourceName="Social">
  <extLst>
    <x:ext xmlns:x15="http://schemas.microsoft.com/office/spreadsheetml/2010/11/main" uri="{2F2917AC-EB37-4324-AD4E-5DD8C200BD13}">
      <x15:tableSlicerCache tableId="1" column="32" sortOrder="descending"/>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Emergencia" xr10:uid="{C6ECE735-23E1-4CCC-9C82-53CF7246E6BE}" sourceName="Emerg.">
  <extLst>
    <x:ext xmlns:x15="http://schemas.microsoft.com/office/spreadsheetml/2010/11/main" uri="{2F2917AC-EB37-4324-AD4E-5DD8C200BD13}">
      <x15:tableSlicerCache tableId="1" column="33" sortOrder="descending"/>
    </x:ext>
  </extLst>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Parques" xr10:uid="{4746E22D-7949-4E1F-9038-DC5AAD89E552}" sourceName="Parques">
  <extLst>
    <x:ext xmlns:x15="http://schemas.microsoft.com/office/spreadsheetml/2010/11/main" uri="{2F2917AC-EB37-4324-AD4E-5DD8C200BD13}">
      <x15:tableSlicerCache tableId="1" column="34" sortOrder="descending"/>
    </x:ext>
  </extLst>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ransporte" xr10:uid="{BBBE4B51-7DAD-4FF6-B5CC-8090769ECC48}" sourceName="Transp.">
  <extLst>
    <x:ext xmlns:x15="http://schemas.microsoft.com/office/spreadsheetml/2010/11/main" uri="{2F2917AC-EB37-4324-AD4E-5DD8C200BD13}">
      <x15:tableSlicerCache tableId="1" column="35" sortOrder="descending"/>
    </x:ext>
  </extLst>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Coordinación" xr10:uid="{C1E99F95-E127-4551-886C-359286B955D3}" sourceName="Coordin.">
  <extLst>
    <x:ext xmlns:x15="http://schemas.microsoft.com/office/spreadsheetml/2010/11/main" uri="{2F2917AC-EB37-4324-AD4E-5DD8C200BD13}">
      <x15:tableSlicerCache tableId="1" column="36" sortOrder="descending"/>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Riesgos" xr10:uid="{5F22AF3A-E07F-4653-88EF-9DD262F7B33D}" sourceName="Riesgo">
  <extLst>
    <x:ext xmlns:x15="http://schemas.microsoft.com/office/spreadsheetml/2010/11/main" uri="{2F2917AC-EB37-4324-AD4E-5DD8C200BD13}">
      <x15:tableSlicerCache tableId="1" column="13"/>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Nº_Areas" xr10:uid="{56701BCE-70C6-4B1E-B3B1-6D11C811F31B}" sourceName="Nº Áreas">
  <extLst>
    <x:ext xmlns:x15="http://schemas.microsoft.com/office/spreadsheetml/2010/11/main" uri="{2F2917AC-EB37-4324-AD4E-5DD8C200BD13}">
      <x15:tableSlicerCache tableId="1" column="26"/>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Coste" xr10:uid="{188E2CF5-60A5-43B5-8AAA-BE3097F508FE}" sourceName="Coste">
  <extLst>
    <x:ext xmlns:x15="http://schemas.microsoft.com/office/spreadsheetml/2010/11/main" uri="{2F2917AC-EB37-4324-AD4E-5DD8C200BD13}">
      <x15:tableSlicerCache tableId="1" column="7"/>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Edificios" xr10:uid="{CB26CD3D-AEA6-41B5-B711-7377DBF70335}" sourceName="Edificios">
  <extLst>
    <x:ext xmlns:x15="http://schemas.microsoft.com/office/spreadsheetml/2010/11/main" uri="{2F2917AC-EB37-4324-AD4E-5DD8C200BD13}">
      <x15:tableSlicerCache tableId="1" column="25" sortOrder="descending"/>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Urban" xr10:uid="{A2E937CE-BE15-4102-895D-CC08C93A8758}" sourceName="Planific.">
  <extLst>
    <x:ext xmlns:x15="http://schemas.microsoft.com/office/spreadsheetml/2010/11/main" uri="{2F2917AC-EB37-4324-AD4E-5DD8C200BD13}">
      <x15:tableSlicerCache tableId="1" column="27" sortOrder="descending"/>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Cultura" xr10:uid="{6C3E861F-A6D2-441B-B9D4-CFE3C1D2D459}" sourceName="Cultura">
  <extLst>
    <x:ext xmlns:x15="http://schemas.microsoft.com/office/spreadsheetml/2010/11/main" uri="{2F2917AC-EB37-4324-AD4E-5DD8C200BD13}">
      <x15:tableSlicerCache tableId="1" column="28" sortOrder="descending"/>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urismo" xr10:uid="{5A22EF16-E897-4FC8-BCAF-4A873F7842E3}" sourceName="Turism.">
  <extLst>
    <x:ext xmlns:x15="http://schemas.microsoft.com/office/spreadsheetml/2010/11/main" uri="{2F2917AC-EB37-4324-AD4E-5DD8C200BD13}">
      <x15:tableSlicerCache tableId="1" column="29" sortOrder="descending"/>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Ocupación" xr10:uid="{9896AC51-F177-4C6D-AD95-DBD93CC3E6D8}" sourceName="Rieg.lab">
  <extLst>
    <x:ext xmlns:x15="http://schemas.microsoft.com/office/spreadsheetml/2010/11/main" uri="{2F2917AC-EB37-4324-AD4E-5DD8C200BD13}">
      <x15:tableSlicerCache tableId="1" column="30" sortOrder="descending"/>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YPE OF MEASURE" xr10:uid="{241FD834-259F-4C19-82BC-DED18A23FC23}" cache="SegmentaciónDeDatos_Tipo_Medida" caption="TIPO DE MEDIDA" style="SlicerStyleLight5" rowHeight="247650"/>
  <slicer name="Risk Level" xr10:uid="{326C58C5-CF96-4994-A3A8-29E1FEF97C00}" cache="SegmentaciónDeDatos_Riesgos" caption="Riesgo" style="SlicerStyleLight3" rowHeight="247650"/>
  <slicer name="Nº Areas" xr10:uid="{3A282806-2878-4BB0-8116-E8D9C7B5D5AF}" cache="SegmentaciónDeDatos_Nº_Areas" caption="Nº Áreas" columnCount="2" style="SlicerStyleLight3" rowHeight="247650"/>
  <slicer name="Budget" xr10:uid="{9C6B3820-C379-4BC1-BCA1-F23A6F8D1025}" cache="SegmentaciónDeDatos_Coste" caption="Coste" style="SlicerStyleLight3" rowHeight="247650"/>
  <slicer name="Buildings" xr10:uid="{A89C39EA-CE7C-44C9-8EA1-1CE605CD5C7D}" cache="SegmentaciónDeDatos_Edificios" caption="Edificios" style="SlicerStyleLight2" rowHeight="216000"/>
  <slicer name="Urban" xr10:uid="{3E8646A4-084F-4DA7-93F3-DAA580C0E9ED}" cache="SegmentaciónDeDatos_Urban" caption="Planific." style="SlicerStyleLight2" rowHeight="216000"/>
  <slicer name="Culture" xr10:uid="{C27FCA52-9943-4BEE-BFAC-8C57FA398655}" cache="SegmentaciónDeDatos_Cultura" caption="Cultura" style="SlicerStyleLight2" rowHeight="216000"/>
  <slicer name="Tourism " xr10:uid="{C9C01186-7CDC-40A0-AA91-FCBE9F46BFD1}" cache="SegmentaciónDeDatos_Turismo" caption="Turism." style="SlicerStyleLight2" rowHeight="216000"/>
  <slicer name="Occupational" xr10:uid="{995F3D77-D347-4805-8DE8-7D6C1A126DFA}" cache="SegmentaciónDeDatos_Ocupación" caption="Rieg.lab" style="SlicerStyleLight2" rowHeight="216000"/>
  <slicer name="Education " xr10:uid="{90DA9B52-DA68-4C89-86CE-D17BDB6AA005}" cache="SegmentaciónDeDatos_Educación" caption="Educac." style="SlicerStyleLight2" rowHeight="216000"/>
  <slicer name="Social" xr10:uid="{04D06223-3B7F-4CC9-B795-9B2FB218C9CB}" cache="SegmentaciónDeDatos_Social" caption="Social" style="SlicerStyleLight2" rowHeight="216000"/>
  <slicer name="Emergency" xr10:uid="{E7D5FFAB-AF46-4640-A0BA-816AE5797B0C}" cache="SegmentaciónDeDatos_Emergencia" caption="Emerg." style="SlicerStyleLight2" rowHeight="216000"/>
  <slicer name="Parks" xr10:uid="{130DBF88-21F8-49C2-A8CD-A51FFB7EDF41}" cache="SegmentaciónDeDatos_Parques" caption="Parques" style="SlicerStyleLight2" rowHeight="216000"/>
  <slicer name="Transport " xr10:uid="{B26C6CB2-2D2E-4B93-8E0F-E80DF93D2895}" cache="SegmentaciónDeDatos_Transporte" caption="Transp." style="SlicerStyleLight2" rowHeight="216000"/>
  <slicer name="Coordination " xr10:uid="{FB752D88-5674-40FE-B470-20BFF217DBAA}" cache="SegmentaciónDeDatos_Coordinación" caption="Coordin." style="SlicerStyleLight2" rowHeight="216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B313BEE-6237-45E3-9699-449B3ABE3774}" name="T_MEDIDAS" displayName="T_MEDIDAS" ref="D17:BQ158" totalsRowShown="0" headerRowDxfId="67" dataDxfId="66" headerRowCellStyle="Normal 2">
  <autoFilter ref="D17:BQ158" xr:uid="{2B313BEE-6237-45E3-9699-449B3ABE3774}">
    <filterColumn colId="0" hiddenButton="1"/>
    <filterColumn colId="1" hiddenButton="1"/>
    <filterColumn colId="2" hiddenButton="1">
      <filters>
        <filter val="Comunicación y sensibilización"/>
      </filters>
    </filterColumn>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autoFilter>
  <tableColumns count="66">
    <tableColumn id="67" xr3:uid="{B4DB225D-60E1-4702-A2C5-172BF4CAA31A}" name="Ranking" dataDxfId="65">
      <calculatedColumnFormula>IF(T_MEDIDAS[[#This Row],[Peso Criterios]]&lt;=0,"",_xlfn.RANK.EQ(T_MEDIDAS[[#This Row],[Peso Criterios]],T_MEDIDAS[Peso Criterios]))</calculatedColumnFormula>
    </tableColumn>
    <tableColumn id="1" xr3:uid="{C95C5A30-36BA-46B7-AB2A-DC0166DFC9FF}" name="COD" dataDxfId="64"/>
    <tableColumn id="2" xr3:uid="{D6F92BFD-46B4-464C-B8AE-87DD92691BCA}" name="TIPO DE MEDIDA" dataDxfId="63"/>
    <tableColumn id="41" xr3:uid="{EC243A9A-0424-408D-9F2F-726894741EF9}" name="CRITERIO PRINCIPAL" dataDxfId="62"/>
    <tableColumn id="42" xr3:uid="{D5A80FA9-5083-49FB-BED8-0FED58DFE2FC}" name="CRITERIO" dataDxfId="61"/>
    <tableColumn id="3" xr3:uid="{DA0C108B-A5FE-4F99-A295-D9C189AF0466}" name="DESCRIPCIÓN" dataDxfId="60"/>
    <tableColumn id="66" xr3:uid="{E83134B5-AF28-410A-8BBF-DA0116CF0E4E}" name="EJEMPLOS" dataDxfId="59"/>
    <tableColumn id="4" xr3:uid="{ADBF6F36-7AE0-4CA0-BDA3-D9A2ACBFE000}" name="€" dataDxfId="58"/>
    <tableColumn id="5" xr3:uid="{8FB404F1-4DA9-4E1C-A312-4DDC148A4ED8}" name="€€" dataDxfId="57"/>
    <tableColumn id="6" xr3:uid="{AE169408-C89A-45D0-90EF-F9EB1139F26F}" name="€€€" dataDxfId="56"/>
    <tableColumn id="7" xr3:uid="{F6B2414D-9293-462D-A74A-2975ED586224}" name="Coste" dataDxfId="55">
      <calculatedColumnFormula>IF(M18&lt;&gt;"","€€€", IF(L18&lt;&gt;"","€€", IF(K18&lt;&gt;"","€","-")))</calculatedColumnFormula>
    </tableColumn>
    <tableColumn id="9" xr3:uid="{A002E4AF-B8E1-4D24-9849-DC43640499A8}" name="No risk (0)" dataDxfId="54"/>
    <tableColumn id="10" xr3:uid="{120553BB-E801-4F92-8A12-3380008903BF}" name="Low risk (1)" dataDxfId="53"/>
    <tableColumn id="11" xr3:uid="{9FF06603-784A-40FD-860C-6EB555E08C58}" name="Medidaium risk (2)" dataDxfId="52"/>
    <tableColumn id="12" xr3:uid="{DC7989A6-4F2F-4A59-9C03-3421E18483CD}" name="High risk (3)" dataDxfId="51"/>
    <tableColumn id="8" xr3:uid="{F90E6AF6-43E2-4308-8D57-93B4AB053CCB}" name="RI" dataDxfId="50">
      <calculatedColumnFormula>IF(T_MEDIDAS[[#This Row],[No risk (0)]]=1,"■","")</calculatedColumnFormula>
    </tableColumn>
    <tableColumn id="37" xr3:uid="{53D6AF9E-3442-455E-804A-BCF5525EAB28}" name="E" dataDxfId="49">
      <calculatedColumnFormula>IF(T_MEDIDAS[[#This Row],[Low risk (1)]]=1,"■","")</calculatedColumnFormula>
    </tableColumn>
    <tableColumn id="38" xr3:uid="{B2EEA830-47D6-476B-A136-DA9810591593}" name="S" dataDxfId="48">
      <calculatedColumnFormula>IF(T_MEDIDAS[[#This Row],[Medidaium risk (2)]]=1,"■","")</calculatedColumnFormula>
    </tableColumn>
    <tableColumn id="39" xr3:uid="{9E9116F3-D230-499E-BEE1-E6801D3D7B08}" name="GO" dataDxfId="47">
      <calculatedColumnFormula>IF(T_MEDIDAS[[#This Row],[High risk (3)]]=1,"■","")</calculatedColumnFormula>
    </tableColumn>
    <tableColumn id="13" xr3:uid="{9C3A90BB-D7B7-4843-8804-580D521F4804}" name="Riesgo" dataDxfId="46">
      <calculatedColumnFormula>IF(R18&lt;&gt;"","4. High (Red)", IF(Q18&lt;&gt;"","3. Medium (Orange)", IF(P18&lt;&gt;"","2. Low (Yellow)","1. No Risk (Green)")))</calculatedColumnFormula>
    </tableColumn>
    <tableColumn id="26" xr3:uid="{156C8DCF-FC8F-46EA-87B0-8ECAA03E32EC}" name="Nº Áreas" dataDxfId="45">
      <calculatedColumnFormula>COUNT(T_MEDIDAS[[#This Row],[Edificios públicos]:[Coordinación]])</calculatedColumnFormula>
    </tableColumn>
    <tableColumn id="14" xr3:uid="{39B06428-DF5F-4CAB-925A-1F1B2507AC7A}" name="Edificios públicos" dataDxfId="44"/>
    <tableColumn id="25" xr3:uid="{E706F2FD-C961-463E-B760-017CCAF51476}" name="Edificios" dataDxfId="43">
      <calculatedColumnFormula>IF(T_MEDIDAS[[#This Row],[Edificios públicos]]=1,"Yes","No")</calculatedColumnFormula>
    </tableColumn>
    <tableColumn id="15" xr3:uid="{A9E0747F-0EDD-4155-AF08-3A990C46DA5B}" name="Planificación urbana" dataDxfId="42"/>
    <tableColumn id="27" xr3:uid="{E0AD845A-7CC8-48CA-B573-89124C12E6F6}" name="Planific." dataDxfId="41">
      <calculatedColumnFormula>IF(T_MEDIDAS[[#This Row],[Planificación urbana]]=1,"Yes","No")</calculatedColumnFormula>
    </tableColumn>
    <tableColumn id="16" xr3:uid="{E48A2099-BAF5-49B8-BBF6-C1A6D446A2A9}" name="Cultura y deportes" dataDxfId="40"/>
    <tableColumn id="28" xr3:uid="{C618D409-9DC5-4936-BDFB-8055EAF0F982}" name="Cultura" dataDxfId="39">
      <calculatedColumnFormula>IF(T_MEDIDAS[[#This Row],[Cultura y deportes]],"Yes","No")</calculatedColumnFormula>
    </tableColumn>
    <tableColumn id="17" xr3:uid="{26411C15-A8ED-4C60-B190-5BAB20986D32}" name="Turismo" dataDxfId="38"/>
    <tableColumn id="29" xr3:uid="{98AA20B4-6F3E-402C-9970-B64C50F72412}" name="Turism." dataDxfId="37">
      <calculatedColumnFormula>IF(T_MEDIDAS[[#This Row],[Turismo]],"Yes","No")</calculatedColumnFormula>
    </tableColumn>
    <tableColumn id="18" xr3:uid="{045C2B54-5A57-46FA-AF0E-EC02C78056F4}" name="Riesgos laborales" dataDxfId="36"/>
    <tableColumn id="30" xr3:uid="{9845C149-F850-4271-9488-E43733AABF28}" name="Rieg.lab" dataDxfId="35">
      <calculatedColumnFormula>IF(T_MEDIDAS[[#This Row],[Riesgos laborales]],"Yes","No")</calculatedColumnFormula>
    </tableColumn>
    <tableColumn id="19" xr3:uid="{85CD98AE-B5A6-4FF3-A82F-D3A6826C0D7B}" name="Educación" dataDxfId="34"/>
    <tableColumn id="31" xr3:uid="{DF30B013-3316-4A9A-AD09-FFA0404C68A0}" name="Educac." dataDxfId="33">
      <calculatedColumnFormula>IF(T_MEDIDAS[[#This Row],[Educación]],"Yes","No")</calculatedColumnFormula>
    </tableColumn>
    <tableColumn id="20" xr3:uid="{C74248B9-34FD-4F77-96E7-354A5C2EDD3E}" name="Servicios sociales" dataDxfId="32"/>
    <tableColumn id="32" xr3:uid="{CE295A3D-09C8-4506-8339-8A558EF73774}" name="Social" dataDxfId="31">
      <calculatedColumnFormula>IF(T_MEDIDAS[[#This Row],[Servicios sociales]],"Yes","No")</calculatedColumnFormula>
    </tableColumn>
    <tableColumn id="21" xr3:uid="{504F658F-8383-4A3C-87A6-5B08EF236AA3}" name="Servicios de emergencia y policía" dataDxfId="30"/>
    <tableColumn id="33" xr3:uid="{43825EEB-41AA-499F-80A1-7D25F22304C5}" name="Emerg." dataDxfId="29">
      <calculatedColumnFormula>IF(T_MEDIDAS[[#This Row],[Servicios de emergencia y policía]],"Yes","No")</calculatedColumnFormula>
    </tableColumn>
    <tableColumn id="22" xr3:uid="{0D484B06-76CC-47A5-95E6-19F201A3592F}" name="Parques y jardines" dataDxfId="28"/>
    <tableColumn id="34" xr3:uid="{9998E656-3B0F-494D-959B-99DB75E84904}" name="Parques" dataDxfId="27">
      <calculatedColumnFormula>IF(T_MEDIDAS[[#This Row],[Parques y jardines]],"Yes","No")</calculatedColumnFormula>
    </tableColumn>
    <tableColumn id="23" xr3:uid="{A4F7DB5D-5409-4BB6-9B2F-FA82DF48355C}" name="Transporte" dataDxfId="26"/>
    <tableColumn id="35" xr3:uid="{08783216-1A88-4E9D-AEBF-BC40021E4D7E}" name="Transp." dataDxfId="25">
      <calculatedColumnFormula>IF(T_MEDIDAS[[#This Row],[Transporte]],"Yes","No")</calculatedColumnFormula>
    </tableColumn>
    <tableColumn id="24" xr3:uid="{E821E76E-3031-4753-A169-49FF9E7EDA7A}" name="Coordinación" dataDxfId="24"/>
    <tableColumn id="36" xr3:uid="{B6C2C0D3-01DA-4E22-BABE-B6483C7BE9CB}" name="Coordin." dataDxfId="23">
      <calculatedColumnFormula>IF(T_MEDIDAS[[#This Row],[Coordinación]],"Yes","No")</calculatedColumnFormula>
    </tableColumn>
    <tableColumn id="40" xr3:uid="{7B9EAE25-FECB-4EE1-A7F7-CC0CF0E00332}" name="&lt;5.000" dataDxfId="22"/>
    <tableColumn id="43" xr3:uid="{8F21BFAD-456A-49F2-B67D-E00CCD5F14AB}" name="5.001-20.000" dataDxfId="21"/>
    <tableColumn id="44" xr3:uid="{10FD3DC1-39CB-4757-89E1-EE44CB09E5CA}" name="20.001-50.000" dataDxfId="20"/>
    <tableColumn id="45" xr3:uid="{7E77C21B-6F4B-4A9C-9E9D-48138781DFE4}" name="50.001-100.000" dataDxfId="19"/>
    <tableColumn id="46" xr3:uid="{F7084CDD-FF76-48EE-916F-6A297C609E45}" name="&gt;100.000" dataDxfId="18"/>
    <tableColumn id="47" xr3:uid="{1B8ACCB3-1FA6-43C0-B308-3F0857DD017C}" name="Aplicación tamaño" dataDxfId="17">
      <calculatedColumnFormula>SUMPRODUCT($AT$15:$AX$15,T_MEDIDAS[[#This Row],[&lt;5.000]:[&gt;100.000]])</calculatedColumnFormula>
    </tableColumn>
    <tableColumn id="57" xr3:uid="{8CDCB099-1BFC-4C38-B539-D16F2BD9BBB7}" name="Centros de salud o asistencia social" dataDxfId="16"/>
    <tableColumn id="58" xr3:uid="{D0DA6D38-574D-464F-A28A-2ED2F2177C30}" name="Edificios públicos2" dataDxfId="15"/>
    <tableColumn id="59" xr3:uid="{7721378D-493D-4E22-A3DF-B06484D18A98}" name="Piscinas públicas" dataDxfId="14"/>
    <tableColumn id="60" xr3:uid="{3F6C4AAD-F2AF-433C-B8D6-BBAB1A2A0B39}" name="Playas" dataDxfId="13"/>
    <tableColumn id="61" xr3:uid="{08372F9E-E3BB-42A8-92B7-405C19992894}" name="Ríos y lagos" dataDxfId="12"/>
    <tableColumn id="62" xr3:uid="{971C27D6-648E-475A-BFA0-C69E2A589D92}" name="Transporte público" dataDxfId="11"/>
    <tableColumn id="63" xr3:uid="{2099A82A-6922-4677-93F8-CFA7733D460E}" name="Escuelas / Centros de educación" dataDxfId="10"/>
    <tableColumn id="64" xr3:uid="{1A301857-C78C-4FE2-B7C2-1D82A3005A65}" name="Total infraestructura" dataDxfId="9">
      <calculatedColumnFormula array="1">SUMPRODUCT(--((T_MEDIDAS[[#This Row],[Centros de salud o asistencia social]:[Escuelas / Centros de educación]] + $AZ$15:$BF$15)&gt;0))</calculatedColumnFormula>
    </tableColumn>
    <tableColumn id="48" xr3:uid="{C9DA8346-75AD-4FB2-A374-ADC03FAD0F75}" name="C1_Refrigeración" dataDxfId="8"/>
    <tableColumn id="49" xr3:uid="{F066851C-2CA5-4354-8507-C80BF46CEA54}" name="C2_Verde Azul" dataDxfId="7"/>
    <tableColumn id="50" xr3:uid="{275540AA-CFF4-4FC2-BCD4-647E77655182}" name="C3_Vulnerables" dataDxfId="6"/>
    <tableColumn id="51" xr3:uid="{C0B5BA83-DAA0-46B3-9459-A06527109DA6}" name="C4_Población" dataDxfId="5"/>
    <tableColumn id="52" xr3:uid="{DA3A3D50-DA1A-400D-B08F-3545C5CF7A89}" name="C5_Coste" dataDxfId="4"/>
    <tableColumn id="53" xr3:uid="{A2401B82-5CF2-49C1-BA07-1EF3BE5EC74D}" name="C6_Financiación" dataDxfId="3"/>
    <tableColumn id="54" xr3:uid="{7A0F7F3F-BACD-4FED-ABB7-4C31374100F2}" name="C7_Viabilidad" dataDxfId="2"/>
    <tableColumn id="55" xr3:uid="{B6E72D92-2CC4-4E16-94DF-14FD200F45C7}" name="C8_Tiempo" dataDxfId="1"/>
    <tableColumn id="56" xr3:uid="{EF9BA592-6ABB-47BF-9E2B-B7F3E9A54B27}" name="Peso Criterios" dataDxfId="0">
      <calculatedColumnFormula array="1">T_MEDIDAS[[#This Row],[Aplicación tamaño]]*(SUMPRODUCT(T_MEDIDAS[[#This Row],[C1_Refrigeración]:[C8_Tiempo]],TRANSPOSE('2.PONDERACIÓN'!$L$13:$L$20))+(ROW(C18)-ROW($C$18)+1)*0.0000000001)*100</calculatedColumnFormula>
    </tableColumn>
  </tableColumns>
  <tableStyleInfo name="TableStyleMedium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4CCB6-A105-4995-949C-46F81DEE6A8D}">
  <sheetPr codeName="Hoja1">
    <tabColor theme="0"/>
  </sheetPr>
  <dimension ref="A1:L118"/>
  <sheetViews>
    <sheetView showGridLines="0" showRowColHeaders="0" tabSelected="1" zoomScale="95" zoomScaleNormal="95" workbookViewId="0">
      <selection activeCell="D11" sqref="D11:H13"/>
    </sheetView>
  </sheetViews>
  <sheetFormatPr defaultColWidth="0" defaultRowHeight="14.45" zeroHeight="1"/>
  <cols>
    <col min="1" max="1" width="2" customWidth="1"/>
    <col min="2" max="2" width="3.140625" customWidth="1"/>
    <col min="3" max="3" width="8.85546875" customWidth="1"/>
    <col min="4" max="4" width="24" customWidth="1"/>
    <col min="5" max="7" width="11.5703125" customWidth="1"/>
    <col min="8" max="8" width="8.42578125" customWidth="1"/>
    <col min="9" max="9" width="3.140625" customWidth="1"/>
    <col min="10" max="10" width="2.140625" customWidth="1"/>
    <col min="11" max="11" width="127.85546875" customWidth="1"/>
    <col min="12" max="12" width="2.140625" customWidth="1"/>
    <col min="13" max="16384" width="11.5703125" hidden="1"/>
  </cols>
  <sheetData>
    <row r="1" spans="1:12">
      <c r="A1" s="54"/>
      <c r="B1" s="54"/>
      <c r="C1" s="54"/>
      <c r="D1" s="54"/>
      <c r="E1" s="54"/>
      <c r="F1" s="54"/>
      <c r="G1" s="54"/>
      <c r="H1" s="54"/>
      <c r="I1" s="54"/>
      <c r="J1" s="54"/>
      <c r="K1" s="54"/>
      <c r="L1" s="54"/>
    </row>
    <row r="2" spans="1:12" ht="14.45" customHeight="1">
      <c r="A2" s="54"/>
      <c r="B2" s="168"/>
      <c r="C2" s="168"/>
      <c r="D2" s="168"/>
      <c r="E2" s="168"/>
      <c r="F2" s="168"/>
      <c r="G2" s="168"/>
      <c r="H2" s="168"/>
      <c r="I2" s="168"/>
      <c r="J2" s="54"/>
      <c r="K2" s="128" t="s">
        <v>0</v>
      </c>
      <c r="L2" s="54"/>
    </row>
    <row r="3" spans="1:12" ht="14.45" customHeight="1">
      <c r="A3" s="54"/>
      <c r="B3" s="168"/>
      <c r="C3" s="168"/>
      <c r="D3" s="168"/>
      <c r="E3" s="168"/>
      <c r="F3" s="168"/>
      <c r="G3" s="168"/>
      <c r="H3" s="168"/>
      <c r="I3" s="168"/>
      <c r="J3" s="54"/>
      <c r="K3" s="129"/>
      <c r="L3" s="54"/>
    </row>
    <row r="4" spans="1:12" ht="14.45" customHeight="1">
      <c r="A4" s="54"/>
      <c r="B4" s="168"/>
      <c r="C4" s="168"/>
      <c r="D4" s="168"/>
      <c r="E4" s="168"/>
      <c r="F4" s="168"/>
      <c r="G4" s="168"/>
      <c r="H4" s="168"/>
      <c r="I4" s="168"/>
      <c r="J4" s="54"/>
      <c r="K4" s="129"/>
      <c r="L4" s="54"/>
    </row>
    <row r="5" spans="1:12" ht="14.45" customHeight="1">
      <c r="A5" s="54"/>
      <c r="B5" s="168"/>
      <c r="C5" s="168"/>
      <c r="D5" s="168"/>
      <c r="E5" s="168"/>
      <c r="F5" s="168"/>
      <c r="G5" s="168"/>
      <c r="H5" s="168"/>
      <c r="I5" s="168"/>
      <c r="J5" s="54"/>
      <c r="K5" s="129"/>
      <c r="L5" s="54"/>
    </row>
    <row r="6" spans="1:12" ht="14.45" customHeight="1">
      <c r="A6" s="54"/>
      <c r="B6" s="137" t="s">
        <v>1</v>
      </c>
      <c r="C6" s="137"/>
      <c r="D6" s="137"/>
      <c r="E6" s="137"/>
      <c r="F6" s="137"/>
      <c r="G6" s="137"/>
      <c r="H6" s="137"/>
      <c r="I6" s="137"/>
      <c r="J6" s="54"/>
      <c r="K6" s="129"/>
      <c r="L6" s="54"/>
    </row>
    <row r="7" spans="1:12" ht="14.45" customHeight="1">
      <c r="A7" s="54"/>
      <c r="B7" s="137"/>
      <c r="C7" s="137"/>
      <c r="D7" s="137"/>
      <c r="E7" s="137"/>
      <c r="F7" s="137"/>
      <c r="G7" s="137"/>
      <c r="H7" s="137"/>
      <c r="I7" s="137"/>
      <c r="J7" s="54"/>
      <c r="K7" s="129"/>
      <c r="L7" s="54"/>
    </row>
    <row r="8" spans="1:12" ht="14.45" customHeight="1">
      <c r="A8" s="54"/>
      <c r="B8" s="137"/>
      <c r="C8" s="137"/>
      <c r="D8" s="137"/>
      <c r="E8" s="137"/>
      <c r="F8" s="137"/>
      <c r="G8" s="137"/>
      <c r="H8" s="137"/>
      <c r="I8" s="137"/>
      <c r="J8" s="54"/>
      <c r="K8" s="129"/>
      <c r="L8" s="54"/>
    </row>
    <row r="9" spans="1:12" ht="14.45" customHeight="1">
      <c r="A9" s="54"/>
      <c r="B9" s="137"/>
      <c r="C9" s="137"/>
      <c r="D9" s="137"/>
      <c r="E9" s="137"/>
      <c r="F9" s="137"/>
      <c r="G9" s="137"/>
      <c r="H9" s="137"/>
      <c r="I9" s="137"/>
      <c r="J9" s="54"/>
      <c r="K9" s="129"/>
      <c r="L9" s="54"/>
    </row>
    <row r="10" spans="1:12" ht="16.7" customHeight="1">
      <c r="A10" s="54"/>
      <c r="B10" s="53"/>
      <c r="C10" s="53"/>
      <c r="D10" s="53"/>
      <c r="E10" s="53"/>
      <c r="F10" s="53"/>
      <c r="G10" s="53"/>
      <c r="H10" s="53"/>
      <c r="I10" s="53"/>
      <c r="J10" s="54"/>
      <c r="K10" s="129"/>
      <c r="L10" s="54"/>
    </row>
    <row r="11" spans="1:12" ht="14.45" customHeight="1">
      <c r="A11" s="54"/>
      <c r="B11" s="53"/>
      <c r="C11" s="130" t="s">
        <v>2</v>
      </c>
      <c r="D11" s="134" t="s">
        <v>3</v>
      </c>
      <c r="E11" s="134"/>
      <c r="F11" s="134"/>
      <c r="G11" s="134"/>
      <c r="H11" s="134"/>
      <c r="I11" s="53"/>
      <c r="J11" s="54"/>
      <c r="K11" s="129"/>
      <c r="L11" s="54"/>
    </row>
    <row r="12" spans="1:12" ht="14.45" customHeight="1">
      <c r="A12" s="54"/>
      <c r="B12" s="53"/>
      <c r="C12" s="130"/>
      <c r="D12" s="134"/>
      <c r="E12" s="134"/>
      <c r="F12" s="134"/>
      <c r="G12" s="134"/>
      <c r="H12" s="134"/>
      <c r="I12" s="53"/>
      <c r="J12" s="54"/>
      <c r="K12" s="129"/>
      <c r="L12" s="54"/>
    </row>
    <row r="13" spans="1:12" ht="14.45" customHeight="1">
      <c r="A13" s="54"/>
      <c r="B13" s="53"/>
      <c r="C13" s="130"/>
      <c r="D13" s="134"/>
      <c r="E13" s="134"/>
      <c r="F13" s="134"/>
      <c r="G13" s="134"/>
      <c r="H13" s="134"/>
      <c r="I13" s="53"/>
      <c r="J13" s="54"/>
      <c r="K13" s="129"/>
      <c r="L13" s="54"/>
    </row>
    <row r="14" spans="1:12">
      <c r="A14" s="54"/>
      <c r="B14" s="53"/>
      <c r="C14" s="53"/>
      <c r="D14" s="53"/>
      <c r="E14" s="53"/>
      <c r="F14" s="53"/>
      <c r="G14" s="53"/>
      <c r="H14" s="53"/>
      <c r="I14" s="53"/>
      <c r="J14" s="54"/>
      <c r="K14" s="129"/>
      <c r="L14" s="54"/>
    </row>
    <row r="15" spans="1:12" ht="14.45" customHeight="1">
      <c r="A15" s="54"/>
      <c r="B15" s="53"/>
      <c r="C15" s="135" t="s">
        <v>4</v>
      </c>
      <c r="D15" s="136" t="s">
        <v>5</v>
      </c>
      <c r="E15" s="136"/>
      <c r="F15" s="136"/>
      <c r="G15" s="136"/>
      <c r="H15" s="136"/>
      <c r="I15" s="53"/>
      <c r="J15" s="54"/>
      <c r="K15" s="129"/>
      <c r="L15" s="54"/>
    </row>
    <row r="16" spans="1:12" ht="14.45" customHeight="1">
      <c r="A16" s="54"/>
      <c r="B16" s="53"/>
      <c r="C16" s="135"/>
      <c r="D16" s="136"/>
      <c r="E16" s="136"/>
      <c r="F16" s="136"/>
      <c r="G16" s="136"/>
      <c r="H16" s="136"/>
      <c r="I16" s="53"/>
      <c r="J16" s="54"/>
      <c r="K16" s="129"/>
      <c r="L16" s="54"/>
    </row>
    <row r="17" spans="1:12" ht="14.45" customHeight="1">
      <c r="A17" s="54"/>
      <c r="B17" s="53"/>
      <c r="C17" s="135"/>
      <c r="D17" s="136"/>
      <c r="E17" s="136"/>
      <c r="F17" s="136"/>
      <c r="G17" s="136"/>
      <c r="H17" s="136"/>
      <c r="I17" s="53"/>
      <c r="J17" s="54"/>
      <c r="K17" s="129"/>
      <c r="L17" s="54"/>
    </row>
    <row r="18" spans="1:12">
      <c r="A18" s="54"/>
      <c r="B18" s="53"/>
      <c r="C18" s="53"/>
      <c r="D18" s="53"/>
      <c r="E18" s="53"/>
      <c r="F18" s="53"/>
      <c r="G18" s="53"/>
      <c r="H18" s="53"/>
      <c r="I18" s="53"/>
      <c r="J18" s="54"/>
      <c r="K18" s="129"/>
      <c r="L18" s="54"/>
    </row>
    <row r="19" spans="1:12" ht="14.45" customHeight="1">
      <c r="A19" s="54"/>
      <c r="B19" s="53"/>
      <c r="C19" s="130" t="s">
        <v>6</v>
      </c>
      <c r="D19" s="131" t="s">
        <v>7</v>
      </c>
      <c r="E19" s="131"/>
      <c r="F19" s="131"/>
      <c r="G19" s="131"/>
      <c r="H19" s="131"/>
      <c r="I19" s="53"/>
      <c r="J19" s="54"/>
      <c r="K19" s="129"/>
      <c r="L19" s="54"/>
    </row>
    <row r="20" spans="1:12" ht="14.45" customHeight="1">
      <c r="A20" s="54"/>
      <c r="B20" s="53"/>
      <c r="C20" s="130"/>
      <c r="D20" s="131"/>
      <c r="E20" s="131"/>
      <c r="F20" s="131"/>
      <c r="G20" s="131"/>
      <c r="H20" s="131"/>
      <c r="I20" s="53"/>
      <c r="J20" s="54"/>
      <c r="K20" s="129"/>
      <c r="L20" s="54"/>
    </row>
    <row r="21" spans="1:12" ht="14.45" customHeight="1">
      <c r="A21" s="54"/>
      <c r="B21" s="53"/>
      <c r="C21" s="130"/>
      <c r="D21" s="131"/>
      <c r="E21" s="131"/>
      <c r="F21" s="131"/>
      <c r="G21" s="131"/>
      <c r="H21" s="131"/>
      <c r="I21" s="53"/>
      <c r="J21" s="54"/>
      <c r="K21" s="129"/>
      <c r="L21" s="54"/>
    </row>
    <row r="22" spans="1:12">
      <c r="A22" s="54"/>
      <c r="B22" s="53"/>
      <c r="C22" s="53"/>
      <c r="D22" s="53"/>
      <c r="E22" s="53"/>
      <c r="F22" s="53"/>
      <c r="G22" s="53"/>
      <c r="H22" s="53"/>
      <c r="I22" s="53"/>
      <c r="J22" s="54"/>
      <c r="K22" s="129"/>
      <c r="L22" s="54"/>
    </row>
    <row r="23" spans="1:12" ht="14.45" customHeight="1">
      <c r="A23" s="54"/>
      <c r="B23" s="53"/>
      <c r="C23" s="132" t="s">
        <v>8</v>
      </c>
      <c r="D23" s="133" t="s">
        <v>9</v>
      </c>
      <c r="E23" s="133"/>
      <c r="F23" s="133"/>
      <c r="G23" s="133"/>
      <c r="H23" s="133"/>
      <c r="I23" s="53"/>
      <c r="J23" s="54"/>
      <c r="K23" s="129"/>
      <c r="L23" s="54"/>
    </row>
    <row r="24" spans="1:12">
      <c r="A24" s="54"/>
      <c r="B24" s="53"/>
      <c r="C24" s="132"/>
      <c r="D24" s="133"/>
      <c r="E24" s="133"/>
      <c r="F24" s="133"/>
      <c r="G24" s="133"/>
      <c r="H24" s="133"/>
      <c r="I24" s="53"/>
      <c r="J24" s="54"/>
      <c r="K24" s="129"/>
      <c r="L24" s="54"/>
    </row>
    <row r="25" spans="1:12">
      <c r="A25" s="54"/>
      <c r="B25" s="53"/>
      <c r="C25" s="132"/>
      <c r="D25" s="133"/>
      <c r="E25" s="133"/>
      <c r="F25" s="133"/>
      <c r="G25" s="133"/>
      <c r="H25" s="133"/>
      <c r="I25" s="53"/>
      <c r="J25" s="54"/>
      <c r="K25" s="129"/>
      <c r="L25" s="54"/>
    </row>
    <row r="26" spans="1:12" ht="17.45" customHeight="1">
      <c r="A26" s="54"/>
      <c r="B26" s="53"/>
      <c r="C26" s="53"/>
      <c r="D26" s="53"/>
      <c r="E26" s="53"/>
      <c r="F26" s="53"/>
      <c r="G26" s="53"/>
      <c r="H26" s="53"/>
      <c r="I26" s="53"/>
      <c r="J26" s="54"/>
      <c r="K26" s="129"/>
      <c r="L26" s="54"/>
    </row>
    <row r="27" spans="1:12" ht="17.45" customHeight="1">
      <c r="A27" s="54"/>
      <c r="B27" s="53"/>
      <c r="C27" s="53"/>
      <c r="D27" s="53"/>
      <c r="E27" s="53"/>
      <c r="F27" s="53"/>
      <c r="G27" s="53"/>
      <c r="H27" s="53"/>
      <c r="I27" s="53"/>
      <c r="J27" s="54"/>
      <c r="K27" s="127" t="s">
        <v>10</v>
      </c>
      <c r="L27" s="54"/>
    </row>
    <row r="28" spans="1:12" ht="17.45" customHeight="1">
      <c r="A28" s="54"/>
      <c r="B28" s="53"/>
      <c r="C28" s="53"/>
      <c r="D28" s="53"/>
      <c r="E28" s="53"/>
      <c r="F28" s="53"/>
      <c r="G28" s="53"/>
      <c r="H28" s="53"/>
      <c r="I28" s="53"/>
      <c r="J28" s="54"/>
      <c r="K28" s="127"/>
      <c r="L28" s="54"/>
    </row>
    <row r="29" spans="1:12" ht="17.45" customHeight="1">
      <c r="A29" s="54"/>
      <c r="B29" s="53"/>
      <c r="C29" s="53"/>
      <c r="D29" s="53"/>
      <c r="E29" s="53"/>
      <c r="F29" s="53"/>
      <c r="G29" s="53"/>
      <c r="H29" s="53"/>
      <c r="I29" s="53"/>
      <c r="J29" s="54"/>
      <c r="K29" s="98"/>
      <c r="L29" s="54"/>
    </row>
    <row r="30" spans="1:12" ht="17.45" customHeight="1">
      <c r="A30" s="54"/>
      <c r="B30" s="53"/>
      <c r="C30" s="53"/>
      <c r="D30" s="53"/>
      <c r="E30" s="53"/>
      <c r="F30" s="53"/>
      <c r="G30" s="53"/>
      <c r="H30" s="53"/>
      <c r="I30" s="53"/>
      <c r="J30" s="54"/>
      <c r="K30" s="98"/>
      <c r="L30" s="54"/>
    </row>
    <row r="31" spans="1:12" ht="14.45" customHeight="1">
      <c r="A31" s="54"/>
      <c r="B31" s="54"/>
      <c r="C31" s="54"/>
      <c r="D31" s="54"/>
      <c r="E31" s="54"/>
      <c r="F31" s="54"/>
      <c r="G31" s="54"/>
      <c r="H31" s="54"/>
      <c r="I31" s="54"/>
      <c r="J31" s="54"/>
      <c r="K31" s="54"/>
      <c r="L31" s="54"/>
    </row>
    <row r="33" customFormat="1" hidden="1"/>
    <row r="34" customFormat="1" hidden="1"/>
    <row r="35" customFormat="1" hidden="1"/>
    <row r="36" customFormat="1" hidden="1"/>
    <row r="37" customFormat="1" hidden="1"/>
    <row r="38" customFormat="1" hidden="1"/>
    <row r="39" customFormat="1" hidden="1"/>
    <row r="40" customFormat="1" hidden="1"/>
    <row r="41" customFormat="1" hidden="1"/>
    <row r="42" customFormat="1" hidden="1"/>
    <row r="43" customFormat="1" hidden="1"/>
    <row r="44" customFormat="1" hidden="1"/>
    <row r="45" customFormat="1" hidden="1"/>
    <row r="46" customFormat="1" hidden="1"/>
    <row r="47" customFormat="1" hidden="1"/>
    <row r="48" customFormat="1" hidden="1"/>
    <row r="49" customFormat="1" hidden="1"/>
    <row r="50" customFormat="1" hidden="1"/>
    <row r="51" customFormat="1" hidden="1"/>
    <row r="52" customFormat="1" hidden="1"/>
    <row r="53" customFormat="1" hidden="1"/>
    <row r="54" customFormat="1" hidden="1"/>
    <row r="55" customFormat="1" hidden="1"/>
    <row r="56" customFormat="1" hidden="1"/>
    <row r="57" customFormat="1" hidden="1"/>
    <row r="58" customFormat="1" hidden="1"/>
    <row r="59" customFormat="1" hidden="1"/>
    <row r="60" customFormat="1" hidden="1"/>
    <row r="61" customFormat="1" hidden="1"/>
    <row r="62" customFormat="1" hidden="1"/>
    <row r="63" customFormat="1" hidden="1"/>
    <row r="64" customFormat="1" hidden="1"/>
    <row r="65" customFormat="1" hidden="1"/>
    <row r="66" customFormat="1" hidden="1"/>
    <row r="67" customFormat="1" hidden="1"/>
    <row r="68" customFormat="1" hidden="1"/>
    <row r="69" customFormat="1" hidden="1"/>
    <row r="70" customFormat="1" hidden="1"/>
    <row r="71" customFormat="1" hidden="1"/>
    <row r="72" customFormat="1" hidden="1"/>
    <row r="73" customFormat="1" hidden="1"/>
    <row r="74" customFormat="1" hidden="1"/>
    <row r="75" customFormat="1" hidden="1"/>
    <row r="76" customFormat="1" hidden="1"/>
    <row r="77" customFormat="1" hidden="1"/>
    <row r="78" customFormat="1" hidden="1"/>
    <row r="79" customFormat="1" hidden="1"/>
    <row r="80" customFormat="1" hidden="1"/>
    <row r="81" customFormat="1" hidden="1"/>
    <row r="82" customFormat="1" hidden="1"/>
    <row r="83" customFormat="1" hidden="1"/>
    <row r="84" customFormat="1" hidden="1"/>
    <row r="85" customFormat="1" hidden="1"/>
    <row r="86" customFormat="1" hidden="1"/>
    <row r="87" customFormat="1" hidden="1"/>
    <row r="88" customFormat="1" hidden="1"/>
    <row r="89" customFormat="1" hidden="1"/>
    <row r="90" customFormat="1" hidden="1"/>
    <row r="91" customFormat="1" hidden="1"/>
    <row r="92" customFormat="1" hidden="1"/>
    <row r="93" customFormat="1" hidden="1"/>
    <row r="94" customFormat="1" hidden="1"/>
    <row r="95" customFormat="1" hidden="1"/>
    <row r="96" customFormat="1" hidden="1"/>
    <row r="97" customFormat="1" hidden="1"/>
    <row r="98" customFormat="1" hidden="1"/>
    <row r="99" customFormat="1" hidden="1"/>
    <row r="100" customFormat="1" hidden="1"/>
    <row r="101" customFormat="1" hidden="1"/>
    <row r="102" customFormat="1" hidden="1"/>
    <row r="103" customFormat="1" hidden="1"/>
    <row r="104" customFormat="1" hidden="1"/>
    <row r="105" customFormat="1" hidden="1"/>
    <row r="106" customFormat="1" hidden="1"/>
    <row r="107" customFormat="1" hidden="1"/>
    <row r="108" customFormat="1" hidden="1"/>
    <row r="109" customFormat="1" hidden="1"/>
    <row r="110" customFormat="1" hidden="1"/>
    <row r="111" customFormat="1" hidden="1"/>
    <row r="112" customFormat="1" hidden="1"/>
    <row r="113" customFormat="1" hidden="1"/>
    <row r="114" customFormat="1" hidden="1"/>
    <row r="115" customFormat="1" hidden="1"/>
    <row r="116" customFormat="1" hidden="1"/>
    <row r="117" customFormat="1" hidden="1"/>
    <row r="118" customFormat="1" hidden="1"/>
  </sheetData>
  <sheetProtection algorithmName="SHA-512" hashValue="XJs6B5t2A5XEiwuQpjB+N5XDvEyFXtKiQbHEqe64mSaOVxNFZdwtiPrOODIFqCc3s91L69kt8bs/eFeUhzwJCg==" saltValue="1kDsXswKmX7weqlFSxy1VQ==" spinCount="100000" sheet="1" selectLockedCells="1"/>
  <mergeCells count="12">
    <mergeCell ref="K27:K28"/>
    <mergeCell ref="K2:K26"/>
    <mergeCell ref="B2:I5"/>
    <mergeCell ref="C19:C21"/>
    <mergeCell ref="D19:H21"/>
    <mergeCell ref="C23:C25"/>
    <mergeCell ref="D23:H25"/>
    <mergeCell ref="C11:C13"/>
    <mergeCell ref="D11:H13"/>
    <mergeCell ref="C15:C17"/>
    <mergeCell ref="D15:H17"/>
    <mergeCell ref="B6:I9"/>
  </mergeCells>
  <hyperlinks>
    <hyperlink ref="C15:H17" location="PONDERACIONES!A1" display="2." xr:uid="{02B14A0B-C07D-4AE5-B636-32E26DC03753}"/>
    <hyperlink ref="C19:H21" location="RESULTADOS!A1" display="3." xr:uid="{8F6CD20B-5EA0-4D3D-B1E4-9FDAC153E502}"/>
    <hyperlink ref="C23:H25" location="RESULTADOS!A1" display="3." xr:uid="{3D9757D3-78E1-4B91-8CEF-1818930207CC}"/>
    <hyperlink ref="C23:C25" location="'4.CATALOGO_MEDIDAS'!A1" display="4." xr:uid="{4C4DB761-FD3B-437D-BE33-EEE1FDC5022C}"/>
    <hyperlink ref="D23:H25" location="'4.CATALOGO_MEDIDAS'!A1" display="'4.CATALOGO_MEDIDAS'!A1" xr:uid="{C77D1D5E-027D-4639-BA39-65C2F0BA0901}"/>
    <hyperlink ref="D11:H13" location="'1.PERFIL_MUNICIPIO'!A1" display="'1.PERFIL_MUNICIPIO'!A1" xr:uid="{7B876FF0-3A79-49BF-A487-8008439264CB}"/>
    <hyperlink ref="C19:C21" location="'3.RESULTADOS'!A1" display="3." xr:uid="{8EFFF12C-865A-46F6-9730-3D7E85476990}"/>
    <hyperlink ref="D19:H21" location="'3.RESULTADOS'!A1" display="'3.RESULTADOS'!A1" xr:uid="{3CA47289-6EC3-4F1E-A2DF-6F1897BAFA0A}"/>
    <hyperlink ref="D15:H17" location="'2.PESOS'!A1" display="'2.PESOS'!A1" xr:uid="{08E702CF-7B2C-4817-8C64-9BE71D854D09}"/>
    <hyperlink ref="C15:C17" location="'2.PESOS'!A1" display="2." xr:uid="{4412E7C6-3528-41A8-A501-B36F687E6C4F}"/>
    <hyperlink ref="C11:C13" location="'1.PERFIL_MUNICIPIO'!A1" display="1." xr:uid="{09849A27-EA11-4B8C-ACC4-85930F82D17A}"/>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F3D55-D7FA-462E-8E23-783EC9E403B2}">
  <sheetPr codeName="Hoja2">
    <tabColor rgb="FFC0620C"/>
  </sheetPr>
  <dimension ref="A1:O28"/>
  <sheetViews>
    <sheetView showRowColHeaders="0" zoomScaleNormal="100" workbookViewId="0">
      <selection activeCell="F9" sqref="F9"/>
    </sheetView>
  </sheetViews>
  <sheetFormatPr defaultColWidth="0" defaultRowHeight="14.45" zeroHeight="1"/>
  <cols>
    <col min="1" max="1" width="10.5703125" style="6" customWidth="1"/>
    <col min="2" max="2" width="2" style="6" customWidth="1"/>
    <col min="3" max="3" width="9.140625" style="6" customWidth="1"/>
    <col min="4" max="4" width="20.5703125" style="6" customWidth="1"/>
    <col min="5" max="5" width="11.5703125" style="6" customWidth="1"/>
    <col min="6" max="6" width="19" style="6" bestFit="1" customWidth="1"/>
    <col min="7" max="7" width="4.5703125" style="6" customWidth="1"/>
    <col min="8" max="8" width="24.42578125" style="6" customWidth="1"/>
    <col min="9" max="9" width="19" style="6" customWidth="1"/>
    <col min="10" max="10" width="9.140625" style="6" customWidth="1"/>
    <col min="11" max="11" width="2" style="6" customWidth="1"/>
    <col min="12" max="15" width="11.5703125" style="6" hidden="1" customWidth="1"/>
    <col min="16" max="16384" width="0" style="6" hidden="1"/>
  </cols>
  <sheetData>
    <row r="1" spans="1:11">
      <c r="A1" s="61"/>
      <c r="B1" s="55"/>
      <c r="C1" s="55"/>
      <c r="D1" s="55"/>
      <c r="E1" s="55"/>
      <c r="F1" s="55"/>
      <c r="G1" s="55"/>
      <c r="H1" s="55"/>
      <c r="I1" s="55"/>
      <c r="J1" s="55"/>
      <c r="K1" s="55"/>
    </row>
    <row r="2" spans="1:11" ht="14.45" customHeight="1">
      <c r="A2" s="61"/>
      <c r="B2" s="55"/>
      <c r="C2" s="63"/>
      <c r="D2" s="64"/>
      <c r="E2" s="65"/>
      <c r="F2" s="141" t="s">
        <v>1</v>
      </c>
      <c r="G2" s="141"/>
      <c r="H2" s="141"/>
      <c r="I2" s="141"/>
      <c r="J2" s="141"/>
      <c r="K2" s="55"/>
    </row>
    <row r="3" spans="1:11" ht="14.45" customHeight="1">
      <c r="A3" s="61"/>
      <c r="B3" s="55"/>
      <c r="C3" s="63"/>
      <c r="D3" s="64"/>
      <c r="E3" s="65"/>
      <c r="F3" s="141"/>
      <c r="G3" s="141"/>
      <c r="H3" s="141"/>
      <c r="I3" s="141"/>
      <c r="J3" s="141"/>
      <c r="K3" s="55"/>
    </row>
    <row r="4" spans="1:11" ht="14.45" customHeight="1">
      <c r="A4" s="61"/>
      <c r="B4" s="55"/>
      <c r="C4" s="63"/>
      <c r="D4" s="64"/>
      <c r="E4" s="65"/>
      <c r="F4" s="141"/>
      <c r="G4" s="141"/>
      <c r="H4" s="141"/>
      <c r="I4" s="141"/>
      <c r="J4" s="141"/>
      <c r="K4" s="55"/>
    </row>
    <row r="5" spans="1:11" ht="27.6" customHeight="1">
      <c r="A5" s="61"/>
      <c r="B5" s="55"/>
      <c r="C5" s="57" t="s">
        <v>11</v>
      </c>
      <c r="D5" s="56"/>
      <c r="E5" s="58"/>
      <c r="F5" s="56"/>
      <c r="G5" s="56"/>
      <c r="H5" s="56"/>
      <c r="I5" s="56"/>
      <c r="J5" s="56"/>
      <c r="K5" s="55"/>
    </row>
    <row r="6" spans="1:11" ht="15" customHeight="1">
      <c r="A6" s="61"/>
      <c r="B6" s="55"/>
      <c r="C6" s="59" t="s">
        <v>12</v>
      </c>
      <c r="D6" s="56"/>
      <c r="E6" s="58"/>
      <c r="F6" s="56"/>
      <c r="G6" s="56"/>
      <c r="H6" s="56"/>
      <c r="I6" s="56"/>
      <c r="J6" s="56"/>
      <c r="K6" s="55"/>
    </row>
    <row r="7" spans="1:11" ht="14.45" customHeight="1">
      <c r="A7" s="61"/>
      <c r="B7" s="55"/>
      <c r="C7" s="56"/>
      <c r="D7" s="56"/>
      <c r="E7" s="56"/>
      <c r="F7" s="56"/>
      <c r="G7" s="56"/>
      <c r="H7" s="56"/>
      <c r="I7" s="56"/>
      <c r="J7" s="56"/>
      <c r="K7" s="55"/>
    </row>
    <row r="8" spans="1:11" ht="15.6" customHeight="1">
      <c r="A8" s="61"/>
      <c r="B8" s="55"/>
      <c r="C8" s="56"/>
      <c r="D8" s="140" t="s">
        <v>13</v>
      </c>
      <c r="E8" s="140"/>
      <c r="F8" s="62" t="s">
        <v>14</v>
      </c>
      <c r="G8" s="56"/>
      <c r="H8" s="150" t="s">
        <v>15</v>
      </c>
      <c r="I8" s="151"/>
      <c r="J8" s="56"/>
      <c r="K8" s="55"/>
    </row>
    <row r="9" spans="1:11" ht="14.45" customHeight="1">
      <c r="A9" s="61"/>
      <c r="B9" s="55"/>
      <c r="C9" s="56"/>
      <c r="D9" s="138" t="s">
        <v>16</v>
      </c>
      <c r="E9" s="139"/>
      <c r="F9" s="68" t="s">
        <v>17</v>
      </c>
      <c r="G9" s="56"/>
      <c r="H9" s="144" t="s">
        <v>18</v>
      </c>
      <c r="I9" s="145"/>
      <c r="J9" s="56"/>
      <c r="K9" s="55"/>
    </row>
    <row r="10" spans="1:11" ht="14.45" customHeight="1">
      <c r="A10" s="61"/>
      <c r="B10" s="55"/>
      <c r="C10" s="56"/>
      <c r="D10" s="138" t="s">
        <v>19</v>
      </c>
      <c r="E10" s="139"/>
      <c r="F10" s="68"/>
      <c r="G10" s="56"/>
      <c r="H10" s="146"/>
      <c r="I10" s="147"/>
      <c r="J10" s="56"/>
      <c r="K10" s="55"/>
    </row>
    <row r="11" spans="1:11" ht="14.45" customHeight="1">
      <c r="A11" s="61"/>
      <c r="B11" s="55"/>
      <c r="C11" s="56"/>
      <c r="D11" s="138" t="s">
        <v>20</v>
      </c>
      <c r="E11" s="139"/>
      <c r="F11" s="69">
        <v>300000</v>
      </c>
      <c r="G11" s="56"/>
      <c r="H11" s="146"/>
      <c r="I11" s="147"/>
      <c r="J11" s="56"/>
      <c r="K11" s="55"/>
    </row>
    <row r="12" spans="1:11" ht="14.45" customHeight="1">
      <c r="A12" s="61"/>
      <c r="B12" s="55"/>
      <c r="C12" s="56"/>
      <c r="D12" s="138" t="s">
        <v>21</v>
      </c>
      <c r="E12" s="139"/>
      <c r="F12" s="70" t="str">
        <f>IF(F11="","",IF(F11&lt;=5000,"&lt;5.000",IF(F11&lt;=20000,"5.001–20.000",IF(F11&lt;=50000,"20.001–50.000",IF(F11&lt;=100000,"50.001–100.000","&gt;100.000")))))</f>
        <v>&gt;100.000</v>
      </c>
      <c r="G12" s="56"/>
      <c r="H12" s="148"/>
      <c r="I12" s="149"/>
      <c r="J12" s="56"/>
      <c r="K12" s="55"/>
    </row>
    <row r="13" spans="1:11" ht="14.45" customHeight="1">
      <c r="A13" s="61"/>
      <c r="B13" s="55"/>
      <c r="C13" s="56"/>
      <c r="D13" s="56"/>
      <c r="E13" s="56"/>
      <c r="F13" s="56"/>
      <c r="G13" s="56"/>
      <c r="H13" s="56"/>
      <c r="I13" s="56"/>
      <c r="J13" s="56"/>
      <c r="K13" s="55"/>
    </row>
    <row r="14" spans="1:11" ht="31.35" customHeight="1">
      <c r="A14" s="61"/>
      <c r="B14" s="55"/>
      <c r="C14" s="56"/>
      <c r="D14" s="152" t="s">
        <v>22</v>
      </c>
      <c r="E14" s="153"/>
      <c r="F14" s="154"/>
      <c r="G14" s="56"/>
      <c r="H14" s="56"/>
      <c r="I14" s="56"/>
      <c r="J14" s="56"/>
      <c r="K14" s="55"/>
    </row>
    <row r="15" spans="1:11" ht="15.6" customHeight="1">
      <c r="A15" s="61"/>
      <c r="B15" s="55"/>
      <c r="C15" s="56"/>
      <c r="D15" s="142" t="s">
        <v>23</v>
      </c>
      <c r="E15" s="143"/>
      <c r="F15" s="60" t="s">
        <v>24</v>
      </c>
      <c r="G15" s="56"/>
      <c r="H15" s="56"/>
      <c r="I15" s="56"/>
      <c r="J15" s="56"/>
      <c r="K15" s="55"/>
    </row>
    <row r="16" spans="1:11" ht="15.6" customHeight="1">
      <c r="A16" s="61"/>
      <c r="B16" s="55"/>
      <c r="C16" s="56"/>
      <c r="D16" s="138" t="s">
        <v>25</v>
      </c>
      <c r="E16" s="139"/>
      <c r="F16" s="68" t="s">
        <v>26</v>
      </c>
      <c r="G16" s="56"/>
      <c r="H16" s="56"/>
      <c r="I16" s="56"/>
      <c r="J16" s="56"/>
      <c r="K16" s="55"/>
    </row>
    <row r="17" spans="1:11" ht="14.45" customHeight="1">
      <c r="A17" s="61"/>
      <c r="B17" s="55"/>
      <c r="C17" s="56"/>
      <c r="D17" s="138" t="s">
        <v>27</v>
      </c>
      <c r="E17" s="139"/>
      <c r="F17" s="68" t="s">
        <v>26</v>
      </c>
      <c r="G17" s="56"/>
      <c r="H17" s="56"/>
      <c r="I17" s="56"/>
      <c r="J17" s="56"/>
      <c r="K17" s="55"/>
    </row>
    <row r="18" spans="1:11" ht="15.6" customHeight="1">
      <c r="A18" s="61"/>
      <c r="B18" s="55"/>
      <c r="C18" s="56"/>
      <c r="D18" s="138" t="s">
        <v>28</v>
      </c>
      <c r="E18" s="139"/>
      <c r="F18" s="68" t="s">
        <v>26</v>
      </c>
      <c r="G18" s="56"/>
      <c r="H18" s="56"/>
      <c r="I18" s="56"/>
      <c r="J18" s="56"/>
      <c r="K18" s="55"/>
    </row>
    <row r="19" spans="1:11" ht="14.45" customHeight="1">
      <c r="A19" s="61"/>
      <c r="B19" s="55"/>
      <c r="C19" s="56"/>
      <c r="D19" s="138" t="s">
        <v>29</v>
      </c>
      <c r="E19" s="139"/>
      <c r="F19" s="68" t="s">
        <v>26</v>
      </c>
      <c r="G19" s="56"/>
      <c r="H19" s="56"/>
      <c r="I19" s="56"/>
      <c r="J19" s="56"/>
      <c r="K19" s="55"/>
    </row>
    <row r="20" spans="1:11" ht="14.45" customHeight="1">
      <c r="A20" s="61"/>
      <c r="B20" s="55"/>
      <c r="C20" s="56"/>
      <c r="D20" s="138" t="s">
        <v>30</v>
      </c>
      <c r="E20" s="139"/>
      <c r="F20" s="68" t="s">
        <v>26</v>
      </c>
      <c r="G20" s="56"/>
      <c r="H20" s="56"/>
      <c r="I20" s="56"/>
      <c r="J20" s="56"/>
      <c r="K20" s="55"/>
    </row>
    <row r="21" spans="1:11" ht="14.45" customHeight="1">
      <c r="A21" s="61"/>
      <c r="B21" s="55"/>
      <c r="C21" s="56"/>
      <c r="D21" s="138" t="s">
        <v>31</v>
      </c>
      <c r="E21" s="139"/>
      <c r="F21" s="68" t="s">
        <v>26</v>
      </c>
      <c r="G21" s="56"/>
      <c r="H21" s="56"/>
      <c r="I21" s="56"/>
      <c r="J21" s="56"/>
      <c r="K21" s="55"/>
    </row>
    <row r="22" spans="1:11" ht="15.6" customHeight="1">
      <c r="A22" s="61"/>
      <c r="B22" s="55"/>
      <c r="C22" s="56"/>
      <c r="D22" s="138" t="s">
        <v>32</v>
      </c>
      <c r="E22" s="139"/>
      <c r="F22" s="68" t="s">
        <v>26</v>
      </c>
      <c r="G22" s="56"/>
      <c r="H22" s="56"/>
      <c r="I22" s="56"/>
      <c r="J22" s="56"/>
      <c r="K22" s="55"/>
    </row>
    <row r="23" spans="1:11" ht="14.1" customHeight="1">
      <c r="A23" s="61"/>
      <c r="B23" s="55"/>
      <c r="C23" s="56"/>
      <c r="D23" s="56"/>
      <c r="E23" s="56"/>
      <c r="F23" s="56"/>
      <c r="G23" s="56"/>
      <c r="H23" s="56"/>
      <c r="I23" s="56"/>
      <c r="J23" s="56"/>
      <c r="K23" s="55"/>
    </row>
    <row r="24" spans="1:11" ht="14.1" customHeight="1">
      <c r="A24" s="61"/>
      <c r="B24" s="55"/>
      <c r="C24" s="56"/>
      <c r="D24" s="56"/>
      <c r="E24" s="56"/>
      <c r="F24" s="56"/>
      <c r="G24" s="56"/>
      <c r="H24" s="56"/>
      <c r="I24" s="56"/>
      <c r="J24" s="56"/>
      <c r="K24" s="55"/>
    </row>
    <row r="25" spans="1:11" ht="14.1" customHeight="1">
      <c r="A25" s="61"/>
      <c r="B25" s="55"/>
      <c r="C25" s="56"/>
      <c r="D25" s="56"/>
      <c r="E25" s="56"/>
      <c r="F25" s="56"/>
      <c r="G25" s="56"/>
      <c r="H25" s="56"/>
      <c r="I25" s="56"/>
      <c r="J25" s="56"/>
      <c r="K25" s="55"/>
    </row>
    <row r="26" spans="1:11" ht="14.1" customHeight="1">
      <c r="A26" s="61"/>
      <c r="B26" s="55"/>
      <c r="C26" s="56"/>
      <c r="D26" s="56"/>
      <c r="E26" s="56"/>
      <c r="F26" s="56"/>
      <c r="G26" s="56"/>
      <c r="H26" s="56"/>
      <c r="I26" s="56"/>
      <c r="J26" s="56"/>
      <c r="K26" s="55"/>
    </row>
    <row r="27" spans="1:11" ht="14.1" customHeight="1">
      <c r="A27" s="61"/>
      <c r="B27" s="55"/>
      <c r="C27" s="56"/>
      <c r="D27" s="56"/>
      <c r="E27" s="56"/>
      <c r="F27" s="56"/>
      <c r="G27" s="56"/>
      <c r="H27" s="56"/>
      <c r="I27" s="56"/>
      <c r="J27" s="56"/>
      <c r="K27" s="55"/>
    </row>
    <row r="28" spans="1:11" ht="14.45" customHeight="1">
      <c r="A28" s="61"/>
      <c r="B28" s="55"/>
      <c r="C28" s="55"/>
      <c r="D28" s="55"/>
      <c r="E28" s="55"/>
      <c r="F28" s="55"/>
      <c r="G28" s="55"/>
      <c r="H28" s="55"/>
      <c r="I28" s="55"/>
      <c r="J28" s="55"/>
      <c r="K28" s="55"/>
    </row>
  </sheetData>
  <sheetProtection algorithmName="SHA-512" hashValue="mwJbIgwjSNH8XAST4jWau+S+PdUJP+jcQM5p+VtqUlzacGRp6MLrS3PLQn0Bwb4HBwj8S0Vd0bAz/wgh6xWOCQ==" saltValue="wsa3v/q8VS3kK8uh5vzFdQ==" spinCount="100000" sheet="1" selectLockedCells="1"/>
  <mergeCells count="17">
    <mergeCell ref="D22:E22"/>
    <mergeCell ref="D15:E15"/>
    <mergeCell ref="D16:E16"/>
    <mergeCell ref="D17:E17"/>
    <mergeCell ref="D18:E18"/>
    <mergeCell ref="D19:E19"/>
    <mergeCell ref="D20:E20"/>
    <mergeCell ref="D11:E11"/>
    <mergeCell ref="D12:E12"/>
    <mergeCell ref="D8:E8"/>
    <mergeCell ref="F2:J4"/>
    <mergeCell ref="D21:E21"/>
    <mergeCell ref="H9:I12"/>
    <mergeCell ref="H8:I8"/>
    <mergeCell ref="D14:F14"/>
    <mergeCell ref="D9:E9"/>
    <mergeCell ref="D10:E10"/>
  </mergeCells>
  <dataValidations count="2">
    <dataValidation type="list" allowBlank="1" showInputMessage="1" showErrorMessage="1" sqref="F16:F22" xr:uid="{44CADF3C-1370-4A40-A0C6-1337DD6E7790}">
      <formula1>"Si,No"</formula1>
    </dataValidation>
    <dataValidation type="whole" operator="greaterThan" allowBlank="1" showErrorMessage="1" errorTitle="Número incorrecto" error="Introduzca un número entero mayor que 0" promptTitle="Número entero" prompt="Introduzca un número entero mayor que 0" sqref="F11" xr:uid="{65AE62A1-8421-469E-AC00-75AE22D58C81}">
      <formula1>0</formula1>
    </dataValidation>
  </dataValidation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9CAB-62CC-4D95-A8F2-911D2F58DD8C}">
  <sheetPr codeName="Hoja5">
    <tabColor rgb="FFF28A2E"/>
    <pageSetUpPr fitToPage="1"/>
  </sheetPr>
  <dimension ref="A1:M29"/>
  <sheetViews>
    <sheetView showGridLines="0" showRowColHeaders="0" topLeftCell="A5" zoomScaleNormal="100" workbookViewId="0">
      <selection activeCell="F13" sqref="F13"/>
    </sheetView>
  </sheetViews>
  <sheetFormatPr defaultColWidth="0" defaultRowHeight="0" customHeight="1" zeroHeight="1"/>
  <cols>
    <col min="1" max="1" width="10.5703125" style="6" customWidth="1"/>
    <col min="2" max="2" width="2" style="6" customWidth="1"/>
    <col min="3" max="3" width="5.5703125" style="6" customWidth="1"/>
    <col min="4" max="4" width="30.5703125" style="6" customWidth="1"/>
    <col min="5" max="5" width="95.140625" style="6" customWidth="1"/>
    <col min="6" max="6" width="12.42578125" style="6" customWidth="1"/>
    <col min="7" max="7" width="5.85546875" style="6" customWidth="1"/>
    <col min="8" max="8" width="1.85546875" style="6" customWidth="1"/>
    <col min="9" max="9" width="11.5703125" style="6" hidden="1" customWidth="1"/>
    <col min="10" max="10" width="12.42578125" style="6" hidden="1" customWidth="1"/>
    <col min="11" max="11" width="17.42578125" style="6" hidden="1" customWidth="1"/>
    <col min="12" max="12" width="15.85546875" style="6" hidden="1" customWidth="1"/>
    <col min="13" max="13" width="8.42578125" style="6" hidden="1" customWidth="1"/>
    <col min="14" max="16384" width="11.5703125" style="6" hidden="1"/>
  </cols>
  <sheetData>
    <row r="1" spans="1:13" ht="14.45">
      <c r="A1" s="61"/>
      <c r="B1" s="78"/>
      <c r="C1" s="78"/>
      <c r="D1" s="78"/>
      <c r="E1" s="78"/>
      <c r="F1" s="78"/>
      <c r="G1" s="78"/>
      <c r="H1" s="78"/>
    </row>
    <row r="2" spans="1:13" ht="14.45" customHeight="1">
      <c r="A2" s="61"/>
      <c r="B2" s="78"/>
      <c r="C2" s="63"/>
      <c r="D2" s="63"/>
      <c r="E2" s="141" t="s">
        <v>33</v>
      </c>
      <c r="F2" s="141"/>
      <c r="G2" s="141"/>
      <c r="H2" s="78"/>
    </row>
    <row r="3" spans="1:13" ht="14.45" customHeight="1">
      <c r="A3" s="61"/>
      <c r="B3" s="78"/>
      <c r="C3" s="63"/>
      <c r="D3" s="63"/>
      <c r="E3" s="141"/>
      <c r="F3" s="141"/>
      <c r="G3" s="141"/>
      <c r="H3" s="78"/>
    </row>
    <row r="4" spans="1:13" ht="14.45" customHeight="1">
      <c r="A4" s="61"/>
      <c r="B4" s="78"/>
      <c r="C4" s="63"/>
      <c r="D4" s="63"/>
      <c r="E4" s="141"/>
      <c r="F4" s="141"/>
      <c r="G4" s="141"/>
      <c r="H4" s="78"/>
    </row>
    <row r="5" spans="1:13" ht="27.6">
      <c r="A5" s="61"/>
      <c r="B5" s="78"/>
      <c r="C5" s="57" t="s">
        <v>34</v>
      </c>
      <c r="D5" s="57"/>
      <c r="E5" s="56"/>
      <c r="F5" s="58"/>
      <c r="G5" s="56"/>
      <c r="H5" s="78"/>
    </row>
    <row r="6" spans="1:13" ht="15" customHeight="1">
      <c r="A6" s="61"/>
      <c r="B6" s="78"/>
      <c r="C6" s="71" t="s">
        <v>35</v>
      </c>
      <c r="D6" s="59"/>
      <c r="E6" s="56"/>
      <c r="F6" s="58"/>
      <c r="G6" s="56"/>
      <c r="H6" s="78"/>
    </row>
    <row r="7" spans="1:13" ht="12" customHeight="1">
      <c r="A7" s="61"/>
      <c r="B7" s="78"/>
      <c r="C7" s="71" t="s">
        <v>36</v>
      </c>
      <c r="D7" s="61"/>
      <c r="E7" s="61"/>
      <c r="F7" s="61"/>
      <c r="G7" s="61"/>
      <c r="H7" s="78"/>
    </row>
    <row r="8" spans="1:13" ht="13.7" customHeight="1">
      <c r="A8" s="61"/>
      <c r="B8" s="78"/>
      <c r="C8" s="71" t="s">
        <v>37</v>
      </c>
      <c r="D8" s="61"/>
      <c r="E8" s="61"/>
      <c r="F8" s="61"/>
      <c r="G8" s="61"/>
      <c r="H8" s="78"/>
    </row>
    <row r="9" spans="1:13" ht="7.35" customHeight="1">
      <c r="A9" s="61"/>
      <c r="B9" s="78"/>
      <c r="C9" s="61"/>
      <c r="D9" s="61"/>
      <c r="E9" s="61"/>
      <c r="F9" s="61"/>
      <c r="G9" s="61"/>
      <c r="H9" s="78"/>
    </row>
    <row r="10" spans="1:13" ht="21">
      <c r="A10" s="61"/>
      <c r="B10" s="78"/>
      <c r="C10" s="61"/>
      <c r="D10" s="157" t="s">
        <v>38</v>
      </c>
      <c r="E10" s="158"/>
      <c r="F10" s="159"/>
      <c r="G10" s="73"/>
      <c r="H10" s="78"/>
    </row>
    <row r="11" spans="1:13" ht="14.45" customHeight="1">
      <c r="A11" s="61"/>
      <c r="B11" s="78"/>
      <c r="C11" s="61"/>
      <c r="D11" s="160" t="s">
        <v>39</v>
      </c>
      <c r="E11" s="161"/>
      <c r="F11" s="162"/>
      <c r="G11" s="74"/>
      <c r="H11" s="78"/>
    </row>
    <row r="12" spans="1:13" ht="15.6">
      <c r="A12" s="61"/>
      <c r="B12" s="78"/>
      <c r="C12" s="61"/>
      <c r="D12" s="60" t="s">
        <v>40</v>
      </c>
      <c r="E12" s="60" t="s">
        <v>41</v>
      </c>
      <c r="F12" s="76" t="s">
        <v>42</v>
      </c>
      <c r="G12" s="75"/>
      <c r="H12" s="78"/>
      <c r="J12" s="39" t="s">
        <v>43</v>
      </c>
      <c r="K12" s="39" t="s">
        <v>44</v>
      </c>
      <c r="L12" s="39" t="s">
        <v>45</v>
      </c>
      <c r="M12" s="39" t="s">
        <v>46</v>
      </c>
    </row>
    <row r="13" spans="1:13" ht="44.45" customHeight="1">
      <c r="A13" s="61"/>
      <c r="B13" s="78"/>
      <c r="C13" s="61"/>
      <c r="D13" s="155" t="s">
        <v>47</v>
      </c>
      <c r="E13" s="32" t="s">
        <v>48</v>
      </c>
      <c r="F13" s="77">
        <v>0</v>
      </c>
      <c r="G13" s="72"/>
      <c r="H13" s="78"/>
      <c r="J13" s="40">
        <f>POWER(2,F13)</f>
        <v>1</v>
      </c>
      <c r="K13" s="40">
        <f>J13</f>
        <v>1</v>
      </c>
      <c r="L13" s="41">
        <f>K13/SUM($K$13:$K$20)</f>
        <v>0.125</v>
      </c>
      <c r="M13" s="42">
        <f t="shared" ref="M13:M20" si="0">L13</f>
        <v>0.125</v>
      </c>
    </row>
    <row r="14" spans="1:13" ht="44.45" customHeight="1">
      <c r="A14" s="61"/>
      <c r="B14" s="78"/>
      <c r="C14" s="61"/>
      <c r="D14" s="156"/>
      <c r="E14" s="33" t="s">
        <v>49</v>
      </c>
      <c r="F14" s="77">
        <v>0</v>
      </c>
      <c r="G14" s="72"/>
      <c r="H14" s="78"/>
      <c r="J14" s="40">
        <f t="shared" ref="J14:J20" si="1">POWER(2,F14)</f>
        <v>1</v>
      </c>
      <c r="K14" s="40">
        <f t="shared" ref="K14:K20" si="2">J14</f>
        <v>1</v>
      </c>
      <c r="L14" s="41">
        <f t="shared" ref="L14:L20" si="3">K14/SUM($K$13:$K$20)</f>
        <v>0.125</v>
      </c>
      <c r="M14" s="42">
        <f t="shared" si="0"/>
        <v>0.125</v>
      </c>
    </row>
    <row r="15" spans="1:13" ht="44.45" customHeight="1">
      <c r="A15" s="61"/>
      <c r="B15" s="78"/>
      <c r="C15" s="61"/>
      <c r="D15" s="155" t="s">
        <v>50</v>
      </c>
      <c r="E15" s="32" t="s">
        <v>51</v>
      </c>
      <c r="F15" s="77">
        <v>0</v>
      </c>
      <c r="G15" s="72"/>
      <c r="H15" s="78"/>
      <c r="J15" s="40">
        <f t="shared" si="1"/>
        <v>1</v>
      </c>
      <c r="K15" s="40">
        <f t="shared" si="2"/>
        <v>1</v>
      </c>
      <c r="L15" s="41">
        <f t="shared" si="3"/>
        <v>0.125</v>
      </c>
      <c r="M15" s="42">
        <f t="shared" si="0"/>
        <v>0.125</v>
      </c>
    </row>
    <row r="16" spans="1:13" ht="44.45" customHeight="1">
      <c r="A16" s="61"/>
      <c r="B16" s="78"/>
      <c r="C16" s="61"/>
      <c r="D16" s="156"/>
      <c r="E16" s="32" t="s">
        <v>52</v>
      </c>
      <c r="F16" s="77">
        <v>0</v>
      </c>
      <c r="G16" s="72"/>
      <c r="H16" s="78"/>
      <c r="J16" s="40">
        <f t="shared" si="1"/>
        <v>1</v>
      </c>
      <c r="K16" s="40">
        <f t="shared" si="2"/>
        <v>1</v>
      </c>
      <c r="L16" s="41">
        <f t="shared" si="3"/>
        <v>0.125</v>
      </c>
      <c r="M16" s="42">
        <f t="shared" si="0"/>
        <v>0.125</v>
      </c>
    </row>
    <row r="17" spans="1:13" ht="44.45" customHeight="1">
      <c r="A17" s="61"/>
      <c r="B17" s="78"/>
      <c r="C17" s="61"/>
      <c r="D17" s="155" t="s">
        <v>53</v>
      </c>
      <c r="E17" s="32" t="s">
        <v>54</v>
      </c>
      <c r="F17" s="77">
        <v>0</v>
      </c>
      <c r="G17" s="72"/>
      <c r="H17" s="78"/>
      <c r="J17" s="40">
        <f t="shared" si="1"/>
        <v>1</v>
      </c>
      <c r="K17" s="40">
        <f t="shared" si="2"/>
        <v>1</v>
      </c>
      <c r="L17" s="41">
        <f t="shared" si="3"/>
        <v>0.125</v>
      </c>
      <c r="M17" s="42">
        <f t="shared" si="0"/>
        <v>0.125</v>
      </c>
    </row>
    <row r="18" spans="1:13" ht="44.45" customHeight="1">
      <c r="A18" s="61"/>
      <c r="B18" s="78"/>
      <c r="C18" s="61"/>
      <c r="D18" s="156"/>
      <c r="E18" s="32" t="s">
        <v>55</v>
      </c>
      <c r="F18" s="77">
        <v>0</v>
      </c>
      <c r="G18" s="72"/>
      <c r="H18" s="78"/>
      <c r="J18" s="40">
        <f t="shared" si="1"/>
        <v>1</v>
      </c>
      <c r="K18" s="40">
        <f t="shared" si="2"/>
        <v>1</v>
      </c>
      <c r="L18" s="41">
        <f t="shared" si="3"/>
        <v>0.125</v>
      </c>
      <c r="M18" s="42">
        <f t="shared" si="0"/>
        <v>0.125</v>
      </c>
    </row>
    <row r="19" spans="1:13" ht="44.45" customHeight="1">
      <c r="A19" s="61"/>
      <c r="B19" s="78"/>
      <c r="C19" s="61"/>
      <c r="D19" s="155" t="s">
        <v>56</v>
      </c>
      <c r="E19" s="32" t="s">
        <v>57</v>
      </c>
      <c r="F19" s="77">
        <v>0</v>
      </c>
      <c r="G19" s="72"/>
      <c r="H19" s="78"/>
      <c r="J19" s="40">
        <f t="shared" si="1"/>
        <v>1</v>
      </c>
      <c r="K19" s="40">
        <f t="shared" si="2"/>
        <v>1</v>
      </c>
      <c r="L19" s="41">
        <f t="shared" si="3"/>
        <v>0.125</v>
      </c>
      <c r="M19" s="42">
        <f t="shared" si="0"/>
        <v>0.125</v>
      </c>
    </row>
    <row r="20" spans="1:13" ht="44.45" customHeight="1">
      <c r="A20" s="61"/>
      <c r="B20" s="78"/>
      <c r="C20" s="61"/>
      <c r="D20" s="156"/>
      <c r="E20" s="32" t="s">
        <v>58</v>
      </c>
      <c r="F20" s="77">
        <v>0</v>
      </c>
      <c r="G20" s="72"/>
      <c r="H20" s="78"/>
      <c r="J20" s="40">
        <f t="shared" si="1"/>
        <v>1</v>
      </c>
      <c r="K20" s="40">
        <f t="shared" si="2"/>
        <v>1</v>
      </c>
      <c r="L20" s="41">
        <f t="shared" si="3"/>
        <v>0.125</v>
      </c>
      <c r="M20" s="42">
        <f t="shared" si="0"/>
        <v>0.125</v>
      </c>
    </row>
    <row r="21" spans="1:13" ht="18.600000000000001" hidden="1">
      <c r="A21" s="61"/>
      <c r="B21" s="78"/>
      <c r="C21" s="61"/>
      <c r="D21" s="7"/>
      <c r="E21" s="7"/>
      <c r="F21" s="7"/>
      <c r="G21" s="72"/>
      <c r="H21" s="78"/>
      <c r="J21"/>
      <c r="K21" s="40">
        <f>SUM(K13:K20)</f>
        <v>8</v>
      </c>
      <c r="L21" s="41">
        <f>SUM(L13:L20)</f>
        <v>1</v>
      </c>
      <c r="M21" s="42">
        <f>SUM(M13:M20)</f>
        <v>1</v>
      </c>
    </row>
    <row r="22" spans="1:13" ht="18.600000000000001" hidden="1">
      <c r="A22" s="61"/>
      <c r="B22" s="78"/>
      <c r="C22" s="56"/>
      <c r="D22" s="29"/>
      <c r="E22" s="29"/>
      <c r="F22" s="29"/>
      <c r="G22" s="72"/>
      <c r="H22" s="78"/>
    </row>
    <row r="23" spans="1:13" ht="14.45" customHeight="1">
      <c r="A23" s="61"/>
      <c r="B23" s="78"/>
      <c r="C23" s="72"/>
      <c r="D23" s="72"/>
      <c r="E23" s="72"/>
      <c r="F23" s="72"/>
      <c r="G23" s="72"/>
      <c r="H23" s="78"/>
    </row>
    <row r="24" spans="1:13" ht="14.45" customHeight="1">
      <c r="A24" s="61"/>
      <c r="B24" s="78"/>
      <c r="C24" s="78"/>
      <c r="D24" s="78"/>
      <c r="E24" s="78"/>
      <c r="F24" s="78"/>
      <c r="G24" s="78"/>
      <c r="H24" s="78"/>
    </row>
    <row r="25" spans="1:13" ht="14.45" hidden="1" customHeight="1"/>
    <row r="26" spans="1:13" ht="14.45" hidden="1" customHeight="1"/>
    <row r="27" spans="1:13" ht="14.45" hidden="1" customHeight="1"/>
    <row r="28" spans="1:13" ht="14.45" hidden="1" customHeight="1"/>
    <row r="29" spans="1:13" ht="14.45" hidden="1" customHeight="1"/>
  </sheetData>
  <sheetProtection algorithmName="SHA-512" hashValue="p9CWRfZsBpMxrhDVe+5APaHHxDYjvMRejVxxB4RgHiUqa9gdDUMEj1ETt9RAfPjXRVzPXADPsxr09cHlfyLYwA==" saltValue="tWs199LsRCi6WutxO5Nr6A==" spinCount="100000" sheet="1" selectLockedCells="1"/>
  <mergeCells count="7">
    <mergeCell ref="D17:D18"/>
    <mergeCell ref="D19:D20"/>
    <mergeCell ref="E2:G4"/>
    <mergeCell ref="D10:F10"/>
    <mergeCell ref="D11:F11"/>
    <mergeCell ref="D13:D14"/>
    <mergeCell ref="D15:D16"/>
  </mergeCells>
  <conditionalFormatting sqref="E13:E20">
    <cfRule type="duplicateValues" dxfId="71" priority="38"/>
  </conditionalFormatting>
  <dataValidations count="2">
    <dataValidation type="whole" allowBlank="1" showInputMessage="1" showErrorMessage="1" sqref="G13:G23 C23:F23" xr:uid="{E8DF42A6-C468-4A09-9161-966FBE324E5A}">
      <formula1>-5</formula1>
      <formula2>5</formula2>
    </dataValidation>
    <dataValidation type="list" allowBlank="1" showInputMessage="1" showErrorMessage="1" sqref="F13:F20" xr:uid="{68ED256C-7768-4BCE-B4A1-AC8DD2224AE5}">
      <formula1>"3,2,1,0,-1,-2,-3"</formula1>
    </dataValidation>
  </dataValidations>
  <pageMargins left="0.7" right="0.7" top="0.75" bottom="0.75" header="0.3" footer="0.3"/>
  <pageSetup paperSize="9" scale="8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564B6-ED95-4BD2-8D83-1BE1E9A86465}">
  <sheetPr codeName="Hoja4">
    <tabColor rgb="FFC0620C"/>
    <pageSetUpPr fitToPage="1"/>
  </sheetPr>
  <dimension ref="A1:S152"/>
  <sheetViews>
    <sheetView showGridLines="0" zoomScale="80" zoomScaleNormal="80" workbookViewId="0">
      <selection activeCell="A85" sqref="A85"/>
    </sheetView>
  </sheetViews>
  <sheetFormatPr defaultColWidth="0" defaultRowHeight="14.45" zeroHeight="1"/>
  <cols>
    <col min="1" max="1" width="10.5703125" style="6" customWidth="1"/>
    <col min="2" max="2" width="2" style="6" customWidth="1"/>
    <col min="3" max="3" width="5.5703125" style="6" customWidth="1"/>
    <col min="4" max="4" width="7.85546875" style="6" customWidth="1"/>
    <col min="5" max="5" width="10.85546875" style="6" bestFit="1" customWidth="1"/>
    <col min="6" max="6" width="27.42578125" style="6" bestFit="1" customWidth="1"/>
    <col min="7" max="7" width="76.5703125" style="6" customWidth="1"/>
    <col min="8" max="8" width="7.85546875" style="6" bestFit="1" customWidth="1"/>
    <col min="9" max="9" width="7.5703125" style="6" customWidth="1"/>
    <col min="10" max="10" width="10.42578125" style="6" bestFit="1" customWidth="1"/>
    <col min="11" max="11" width="10.5703125" style="6" bestFit="1" customWidth="1"/>
    <col min="12" max="12" width="3.140625" style="6" customWidth="1"/>
    <col min="13" max="13" width="32.85546875" style="6" bestFit="1" customWidth="1"/>
    <col min="14" max="14" width="11.42578125" style="6" customWidth="1"/>
    <col min="15" max="15" width="11.42578125" style="6" bestFit="1" customWidth="1"/>
    <col min="16" max="16" width="11.42578125" style="6" customWidth="1"/>
    <col min="17" max="17" width="29.5703125" style="6" customWidth="1"/>
    <col min="18" max="18" width="3" customWidth="1"/>
    <col min="19" max="19" width="2" style="6" customWidth="1"/>
    <col min="20" max="16384" width="11.5703125" style="6" hidden="1"/>
  </cols>
  <sheetData>
    <row r="1" spans="1:19" ht="14.45" customHeight="1">
      <c r="A1" s="61"/>
      <c r="B1" s="55"/>
      <c r="C1" s="55"/>
      <c r="D1" s="55"/>
      <c r="E1" s="55"/>
      <c r="F1" s="55"/>
      <c r="G1" s="55"/>
      <c r="H1" s="55"/>
      <c r="I1" s="55"/>
      <c r="J1" s="55"/>
      <c r="K1" s="55"/>
      <c r="L1" s="55"/>
      <c r="M1" s="55"/>
      <c r="N1" s="55"/>
      <c r="O1" s="55"/>
      <c r="P1" s="55"/>
      <c r="Q1" s="55"/>
      <c r="R1" s="55"/>
      <c r="S1" s="55"/>
    </row>
    <row r="2" spans="1:19" ht="14.45" customHeight="1">
      <c r="A2" s="61"/>
      <c r="B2" s="55"/>
      <c r="C2" s="66"/>
      <c r="D2" s="63"/>
      <c r="E2" s="63"/>
      <c r="F2" s="65"/>
      <c r="G2" s="141" t="s">
        <v>59</v>
      </c>
      <c r="H2" s="141"/>
      <c r="I2" s="141"/>
      <c r="J2" s="141"/>
      <c r="K2" s="141"/>
      <c r="L2" s="141"/>
      <c r="M2" s="141"/>
      <c r="N2" s="141"/>
      <c r="O2" s="141"/>
      <c r="P2" s="141"/>
      <c r="Q2" s="141"/>
      <c r="R2" s="141"/>
      <c r="S2" s="55"/>
    </row>
    <row r="3" spans="1:19" ht="14.45" customHeight="1">
      <c r="A3" s="61"/>
      <c r="B3" s="55"/>
      <c r="C3" s="66"/>
      <c r="D3" s="63"/>
      <c r="E3" s="63"/>
      <c r="F3" s="65"/>
      <c r="G3" s="141"/>
      <c r="H3" s="141"/>
      <c r="I3" s="141"/>
      <c r="J3" s="141"/>
      <c r="K3" s="141"/>
      <c r="L3" s="141"/>
      <c r="M3" s="141"/>
      <c r="N3" s="141"/>
      <c r="O3" s="141"/>
      <c r="P3" s="141"/>
      <c r="Q3" s="141"/>
      <c r="R3" s="141"/>
      <c r="S3" s="55"/>
    </row>
    <row r="4" spans="1:19" ht="14.45" customHeight="1">
      <c r="A4" s="61"/>
      <c r="B4" s="55"/>
      <c r="C4" s="66"/>
      <c r="D4" s="63"/>
      <c r="E4" s="63"/>
      <c r="F4" s="65"/>
      <c r="G4" s="141"/>
      <c r="H4" s="141"/>
      <c r="I4" s="141"/>
      <c r="J4" s="141"/>
      <c r="K4" s="141"/>
      <c r="L4" s="141"/>
      <c r="M4" s="141"/>
      <c r="N4" s="141"/>
      <c r="O4" s="141"/>
      <c r="P4" s="141"/>
      <c r="Q4" s="141"/>
      <c r="R4" s="141"/>
      <c r="S4" s="55"/>
    </row>
    <row r="5" spans="1:19" ht="27.6">
      <c r="A5" s="61"/>
      <c r="B5" s="55"/>
      <c r="C5" s="57" t="str">
        <f>"Medidas recomendadas para "&amp;'1.PERFIL_MUNICIPIO'!F9</f>
        <v>Medidas recomendadas para MURCIA</v>
      </c>
      <c r="D5" s="57"/>
      <c r="E5" s="57"/>
      <c r="F5" s="56"/>
      <c r="G5" s="58"/>
      <c r="H5" s="56"/>
      <c r="I5" s="56"/>
      <c r="J5" s="56"/>
      <c r="K5" s="56"/>
      <c r="L5" s="56"/>
      <c r="M5" s="61"/>
      <c r="N5" s="61"/>
      <c r="O5" s="61"/>
      <c r="P5" s="61"/>
      <c r="Q5" s="61"/>
      <c r="R5" s="61"/>
      <c r="S5" s="55"/>
    </row>
    <row r="6" spans="1:19" ht="15" customHeight="1">
      <c r="A6" s="61"/>
      <c r="B6" s="55"/>
      <c r="C6" s="59" t="s">
        <v>60</v>
      </c>
      <c r="D6" s="59"/>
      <c r="E6" s="59"/>
      <c r="F6" s="56"/>
      <c r="G6" s="58"/>
      <c r="H6" s="56"/>
      <c r="I6" s="56"/>
      <c r="J6" s="56"/>
      <c r="K6" s="56"/>
      <c r="L6" s="56"/>
      <c r="M6" s="61"/>
      <c r="N6" s="61"/>
      <c r="O6" s="61"/>
      <c r="P6" s="61"/>
      <c r="Q6" s="61"/>
      <c r="R6" s="61"/>
      <c r="S6" s="55"/>
    </row>
    <row r="7" spans="1:19" ht="8.1" customHeight="1">
      <c r="A7" s="61"/>
      <c r="B7" s="55"/>
      <c r="C7" s="61"/>
      <c r="D7" s="61"/>
      <c r="E7" s="61"/>
      <c r="F7" s="61"/>
      <c r="G7" s="61"/>
      <c r="H7" s="61"/>
      <c r="I7" s="61"/>
      <c r="J7" s="61"/>
      <c r="K7" s="61"/>
      <c r="L7" s="61"/>
      <c r="M7" s="61"/>
      <c r="N7" s="61"/>
      <c r="O7" s="61"/>
      <c r="P7" s="61"/>
      <c r="Q7" s="61"/>
      <c r="R7" s="61"/>
      <c r="S7" s="55"/>
    </row>
    <row r="8" spans="1:19" ht="21" customHeight="1">
      <c r="A8" s="61"/>
      <c r="B8" s="55"/>
      <c r="C8" s="61"/>
      <c r="D8" s="166" t="str">
        <f>_xlfn.CONCAT("Número total de medidas aplicables: ",COUNTIF('4.CATALOGO_MEDIDAS'!BQ18:BQ158,"&gt;0"),"  •  Top 20 en negrita / Últimas 20 en gris")</f>
        <v>Número total de medidas aplicables: 141  •  Top 20 en negrita / Últimas 20 en gris</v>
      </c>
      <c r="E8" s="166"/>
      <c r="F8" s="166"/>
      <c r="G8" s="166"/>
      <c r="H8" s="166"/>
      <c r="I8" s="166"/>
      <c r="J8" s="166"/>
      <c r="K8" s="166"/>
      <c r="L8" s="61"/>
      <c r="M8" s="61"/>
      <c r="N8" s="61"/>
      <c r="O8" s="61"/>
      <c r="P8" s="61"/>
      <c r="Q8" s="61"/>
      <c r="R8" s="61"/>
      <c r="S8" s="55"/>
    </row>
    <row r="9" spans="1:19" ht="29.1" customHeight="1">
      <c r="A9" s="61"/>
      <c r="B9" s="55"/>
      <c r="C9" s="61"/>
      <c r="D9" s="67" t="s">
        <v>61</v>
      </c>
      <c r="E9" s="67" t="s">
        <v>62</v>
      </c>
      <c r="F9" s="67" t="s">
        <v>63</v>
      </c>
      <c r="G9" s="67" t="s">
        <v>64</v>
      </c>
      <c r="H9" s="67" t="s">
        <v>65</v>
      </c>
      <c r="I9" s="67" t="s">
        <v>66</v>
      </c>
      <c r="J9" s="67" t="s">
        <v>67</v>
      </c>
      <c r="K9" s="67" t="s">
        <v>68</v>
      </c>
      <c r="L9" s="61"/>
      <c r="M9" s="163" t="s">
        <v>69</v>
      </c>
      <c r="N9" s="164"/>
      <c r="O9" s="164"/>
      <c r="P9" s="164"/>
      <c r="Q9" s="165"/>
      <c r="R9" s="61"/>
      <c r="S9" s="55"/>
    </row>
    <row r="10" spans="1:19" ht="50.1" customHeight="1">
      <c r="A10" s="61"/>
      <c r="B10" s="55"/>
      <c r="C10" s="61"/>
      <c r="D10" s="9">
        <f>IF( ISERROR(VLOOKUP(ROW(C10)-9,T_MEDIDAS[],2,FALSE)), "", ROW(C10)-9 )</f>
        <v>1</v>
      </c>
      <c r="E10" s="10" t="str">
        <f>IF(D10="","",VLOOKUP(D10,T_MEDIDAS[],2,FALSE))</f>
        <v>Medida 122</v>
      </c>
      <c r="F10" s="11" t="str">
        <f>IF(D10="","",VLOOKUP(D10,T_MEDIDAS[],3,FALSE))</f>
        <v>Comunicación y sensibilización</v>
      </c>
      <c r="G10" s="11" t="str">
        <f>IF(D10="","",VLOOKUP(D10,T_MEDIDAS[],6,FALSE))</f>
        <v>Taller de prevención ante el exceso de calor organizado a través de asociaciones, centros de día municipales, unidades de trabajo social, distritos municipales, AMPAs..</v>
      </c>
      <c r="H10" s="22">
        <f>IF(D10="","",VLOOKUP(D10,T_MEDIDAS[],21,FALSE))</f>
        <v>2</v>
      </c>
      <c r="I10" s="22" t="str">
        <f>IF(D10="","",VLOOKUP(D10,T_MEDIDAS[],11,FALSE))</f>
        <v>€</v>
      </c>
      <c r="J10" s="9" t="str">
        <f>IF(D10="","",MID(VLOOKUP(D10,T_MEDIDAS[],20,FALSE),FIND(". ",VLOOKUP(D10,T_MEDIDAS[],20,FALSE))+2,FIND(" (",VLOOKUP(D10,T_MEDIDAS[],20,FALSE))-FIND(".",VLOOKUP(D10,T_MEDIDAS[],20,FALSE))-2))</f>
        <v>Medio</v>
      </c>
      <c r="K10" s="48">
        <f>IF(D10="","",VLOOKUP(D10,T_MEDIDAS[],66,FALSE))</f>
        <v>212.50000122</v>
      </c>
      <c r="L10" s="61"/>
      <c r="M10" s="79" t="s">
        <v>70</v>
      </c>
      <c r="N10" s="26">
        <f>COUNTIFS(T_MEDIDAS[TIPO DE MEDIDA],'3.RESULTADOS'!M10,T_MEDIDAS[Peso Criterios],"&gt;0")</f>
        <v>25</v>
      </c>
      <c r="O10" s="61"/>
      <c r="P10" s="61"/>
      <c r="Q10" s="61"/>
      <c r="R10" s="61"/>
      <c r="S10" s="55"/>
    </row>
    <row r="11" spans="1:19" ht="50.1" customHeight="1">
      <c r="A11" s="61"/>
      <c r="B11" s="55"/>
      <c r="C11" s="61"/>
      <c r="D11" s="8">
        <f>IF( ISERROR(VLOOKUP(ROW(C11)-9,T_MEDIDAS[],2,FALSE)), "", ROW(C11)-9 )</f>
        <v>2</v>
      </c>
      <c r="E11" s="14" t="str">
        <f>IF(D11="","",VLOOKUP(D11,T_MEDIDAS[],2,FALSE))</f>
        <v>Medida 112</v>
      </c>
      <c r="F11" s="15" t="str">
        <f>IF(D11="","",VLOOKUP(D11,T_MEDIDAS[],3,FALSE))</f>
        <v>Respuesta inmediata</v>
      </c>
      <c r="G11" s="16" t="str">
        <f>IF(D11="","",VLOOKUP(D11,T_MEDIDAS[],6,FALSE))</f>
        <v>Comunicación inmediata a los servicios indicados en el plan de actuación municipal ante situaciones de emergencia</v>
      </c>
      <c r="H11" s="23">
        <f>IF(D11="","",VLOOKUP(D11,T_MEDIDAS[],21,FALSE))</f>
        <v>2</v>
      </c>
      <c r="I11" s="23" t="str">
        <f>IF(D11="","",VLOOKUP(D11,T_MEDIDAS[],11,FALSE))</f>
        <v>-</v>
      </c>
      <c r="J11" s="8" t="str">
        <f>IF(D11="","",MID(VLOOKUP(D11,T_MEDIDAS[],20,FALSE),FIND(". ",VLOOKUP(D11,T_MEDIDAS[],20,FALSE))+2,FIND(" (",VLOOKUP(D11,T_MEDIDAS[],20,FALSE))-FIND(".",VLOOKUP(D11,T_MEDIDAS[],20,FALSE))-2))</f>
        <v>Medio</v>
      </c>
      <c r="K11" s="49">
        <f>IF(D11="","",VLOOKUP(D11,T_MEDIDAS[],66,FALSE))</f>
        <v>212.50000112000001</v>
      </c>
      <c r="L11" s="61"/>
      <c r="M11" s="80" t="s">
        <v>71</v>
      </c>
      <c r="N11" s="26">
        <f>COUNTIFS(T_MEDIDAS[TIPO DE MEDIDA],'3.RESULTADOS'!M11,T_MEDIDAS[Peso Criterios],"&gt;0")</f>
        <v>56</v>
      </c>
      <c r="O11" s="61"/>
      <c r="P11" s="61"/>
      <c r="Q11" s="61"/>
      <c r="R11" s="61"/>
      <c r="S11" s="55"/>
    </row>
    <row r="12" spans="1:19" ht="50.1" customHeight="1">
      <c r="A12" s="61"/>
      <c r="B12" s="55"/>
      <c r="C12" s="61"/>
      <c r="D12" s="9">
        <f>IF( ISERROR(VLOOKUP(ROW(C12)-9,T_MEDIDAS[],2,FALSE)), "", ROW(C12)-9 )</f>
        <v>3</v>
      </c>
      <c r="E12" s="10" t="str">
        <f>IF(D12="","",VLOOKUP(D12,T_MEDIDAS[],2,FALSE))</f>
        <v>Medida 111</v>
      </c>
      <c r="F12" s="11" t="str">
        <f>IF(D12="","",VLOOKUP(D12,T_MEDIDAS[],3,FALSE))</f>
        <v>Respuesta inmediata</v>
      </c>
      <c r="G12" s="11" t="str">
        <f>IF(D12="","",VLOOKUP(D12,T_MEDIDAS[],6,FALSE))</f>
        <v>Activar servicios municipales que pueden actuar en situaciones de alerta por altas temperaturas (policía local, servicios sociales, agrupaciones de personas voluntarias, etc.).</v>
      </c>
      <c r="H12" s="22">
        <f>IF(D12="","",VLOOKUP(D12,T_MEDIDAS[],21,FALSE))</f>
        <v>2</v>
      </c>
      <c r="I12" s="22" t="str">
        <f>IF(D12="","",VLOOKUP(D12,T_MEDIDAS[],11,FALSE))</f>
        <v>-</v>
      </c>
      <c r="J12" s="9" t="str">
        <f>IF(D12="","",MID(VLOOKUP(D12,T_MEDIDAS[],20,FALSE),FIND(". ",VLOOKUP(D12,T_MEDIDAS[],20,FALSE))+2,FIND(" (",VLOOKUP(D12,T_MEDIDAS[],20,FALSE))-FIND(".",VLOOKUP(D12,T_MEDIDAS[],20,FALSE))-2))</f>
        <v>Medio</v>
      </c>
      <c r="K12" s="48">
        <f>IF(D12="","",VLOOKUP(D12,T_MEDIDAS[],66,FALSE))</f>
        <v>212.50000111</v>
      </c>
      <c r="L12" s="61"/>
      <c r="M12" s="79" t="s">
        <v>72</v>
      </c>
      <c r="N12" s="27">
        <f>COUNTIFS(T_MEDIDAS[TIPO DE MEDIDA],'3.RESULTADOS'!M12,T_MEDIDAS[Peso Criterios],"&gt;0")</f>
        <v>60</v>
      </c>
      <c r="O12" s="61"/>
      <c r="P12" s="61"/>
      <c r="Q12" s="61"/>
      <c r="R12" s="61"/>
      <c r="S12" s="55"/>
    </row>
    <row r="13" spans="1:19" ht="50.1" customHeight="1">
      <c r="A13" s="61"/>
      <c r="B13" s="55"/>
      <c r="C13" s="61"/>
      <c r="D13" s="8">
        <f>IF( ISERROR(VLOOKUP(ROW(C13)-9,T_MEDIDAS[],2,FALSE)), "", ROW(C13)-9 )</f>
        <v>4</v>
      </c>
      <c r="E13" s="14" t="str">
        <f>IF(D13="","",VLOOKUP(D13,T_MEDIDAS[],2,FALSE))</f>
        <v>Medida 110</v>
      </c>
      <c r="F13" s="15" t="str">
        <f>IF(D13="","",VLOOKUP(D13,T_MEDIDAS[],3,FALSE))</f>
        <v>Respuesta inmediata</v>
      </c>
      <c r="G13" s="15" t="str">
        <f>IF(D13="","",VLOOKUP(D13,T_MEDIDAS[],6,FALSE))</f>
        <v>Vigilar y adecuar el confort de los espacios municipales frecuentados por población de riesgo (personas mayores, personas con discapacidad, menores de edad)</v>
      </c>
      <c r="H13" s="23">
        <f>IF(D13="","",VLOOKUP(D13,T_MEDIDAS[],21,FALSE))</f>
        <v>2</v>
      </c>
      <c r="I13" s="23" t="str">
        <f>IF(D13="","",VLOOKUP(D13,T_MEDIDAS[],11,FALSE))</f>
        <v>-</v>
      </c>
      <c r="J13" s="8" t="str">
        <f>IF(D13="","",MID(VLOOKUP(D13,T_MEDIDAS[],20,FALSE),FIND(". ",VLOOKUP(D13,T_MEDIDAS[],20,FALSE))+2,FIND(" (",VLOOKUP(D13,T_MEDIDAS[],20,FALSE))-FIND(".",VLOOKUP(D13,T_MEDIDAS[],20,FALSE))-2))</f>
        <v>Alto</v>
      </c>
      <c r="K13" s="49">
        <f>IF(D13="","",VLOOKUP(D13,T_MEDIDAS[],66,FALSE))</f>
        <v>212.50000109999999</v>
      </c>
      <c r="L13" s="61"/>
      <c r="M13" s="61"/>
      <c r="N13" s="61"/>
      <c r="O13" s="61"/>
      <c r="P13" s="61"/>
      <c r="Q13" s="61"/>
      <c r="R13" s="61"/>
      <c r="S13" s="55"/>
    </row>
    <row r="14" spans="1:19" ht="50.1" customHeight="1">
      <c r="A14" s="61"/>
      <c r="B14" s="55"/>
      <c r="C14" s="61"/>
      <c r="D14" s="9">
        <f>IF( ISERROR(VLOOKUP(ROW(C14)-9,T_MEDIDAS[],2,FALSE)), "", ROW(C14)-9 )</f>
        <v>5</v>
      </c>
      <c r="E14" s="10" t="str">
        <f>IF(D14="","",VLOOKUP(D14,T_MEDIDAS[],2,FALSE))</f>
        <v>Medida 109</v>
      </c>
      <c r="F14" s="11" t="str">
        <f>IF(D14="","",VLOOKUP(D14,T_MEDIDAS[],3,FALSE))</f>
        <v>Respuesta inmediata</v>
      </c>
      <c r="G14" s="11" t="str">
        <f>IF(D14="","",VLOOKUP(D14,T_MEDIDAS[],6,FALSE))</f>
        <v>Oferta de refugios climáticos (coordinación con otras entidades, revisión de instalaciones, publicidad y comunicación)</v>
      </c>
      <c r="H14" s="22">
        <f>IF(D14="","",VLOOKUP(D14,T_MEDIDAS[],21,FALSE))</f>
        <v>2</v>
      </c>
      <c r="I14" s="22" t="str">
        <f>IF(D14="","",VLOOKUP(D14,T_MEDIDAS[],11,FALSE))</f>
        <v>€€</v>
      </c>
      <c r="J14" s="9" t="str">
        <f>IF(D14="","",MID(VLOOKUP(D14,T_MEDIDAS[],20,FALSE),FIND(". ",VLOOKUP(D14,T_MEDIDAS[],20,FALSE))+2,FIND(" (",VLOOKUP(D14,T_MEDIDAS[],20,FALSE))-FIND(".",VLOOKUP(D14,T_MEDIDAS[],20,FALSE))-2))</f>
        <v>Alto</v>
      </c>
      <c r="K14" s="48">
        <f>IF(D14="","",VLOOKUP(D14,T_MEDIDAS[],66,FALSE))</f>
        <v>212.50000109000001</v>
      </c>
      <c r="L14" s="61"/>
      <c r="M14" s="163" t="s">
        <v>73</v>
      </c>
      <c r="N14" s="164"/>
      <c r="O14" s="164"/>
      <c r="P14" s="164"/>
      <c r="Q14" s="165"/>
      <c r="R14" s="61"/>
      <c r="S14" s="55"/>
    </row>
    <row r="15" spans="1:19" ht="50.1" customHeight="1">
      <c r="A15" s="61"/>
      <c r="B15" s="55"/>
      <c r="C15" s="61"/>
      <c r="D15" s="8">
        <f>IF( ISERROR(VLOOKUP(ROW(C15)-9,T_MEDIDAS[],2,FALSE)), "", ROW(C15)-9 )</f>
        <v>6</v>
      </c>
      <c r="E15" s="14" t="str">
        <f>IF(D15="","",VLOOKUP(D15,T_MEDIDAS[],2,FALSE))</f>
        <v>Medida 93</v>
      </c>
      <c r="F15" s="15" t="str">
        <f>IF(D15="","",VLOOKUP(D15,T_MEDIDAS[],3,FALSE))</f>
        <v>Respuesta inmediata</v>
      </c>
      <c r="G15" s="15" t="str">
        <f>IF(D15="","",VLOOKUP(D15,T_MEDIDAS[],6,FALSE))</f>
        <v>Revisión de botiquines de primeros auxilios en centros públicos para verificar la disponibilidad de material adecuado en caso de tener que atender casos ante las altas temperaturas excepcionales</v>
      </c>
      <c r="H15" s="23">
        <f>IF(D15="","",VLOOKUP(D15,T_MEDIDAS[],21,FALSE))</f>
        <v>4</v>
      </c>
      <c r="I15" s="23" t="str">
        <f>IF(D15="","",VLOOKUP(D15,T_MEDIDAS[],11,FALSE))</f>
        <v>€</v>
      </c>
      <c r="J15" s="8" t="str">
        <f>IF(D15="","",MID(VLOOKUP(D15,T_MEDIDAS[],20,FALSE),FIND(". ",VLOOKUP(D15,T_MEDIDAS[],20,FALSE))+2,FIND(" (",VLOOKUP(D15,T_MEDIDAS[],20,FALSE))-FIND(".",VLOOKUP(D15,T_MEDIDAS[],20,FALSE))-2))</f>
        <v>Medio</v>
      </c>
      <c r="K15" s="49">
        <f>IF(D15="","",VLOOKUP(D15,T_MEDIDAS[],66,FALSE))</f>
        <v>212.50000093</v>
      </c>
      <c r="L15" s="61"/>
      <c r="M15" s="15" t="s">
        <v>74</v>
      </c>
      <c r="N15" s="12">
        <f>COUNTIFS(T_MEDIDAS[Edificios públicos],1,T_MEDIDAS[Peso Criterios],"&gt;0")</f>
        <v>37</v>
      </c>
      <c r="O15" s="61"/>
      <c r="P15" s="61"/>
      <c r="Q15" s="61"/>
      <c r="R15" s="61"/>
      <c r="S15" s="55"/>
    </row>
    <row r="16" spans="1:19" ht="50.1" customHeight="1">
      <c r="A16" s="61"/>
      <c r="B16" s="55"/>
      <c r="C16" s="61"/>
      <c r="D16" s="9">
        <f>IF( ISERROR(VLOOKUP(ROW(C16)-9,T_MEDIDAS[],2,FALSE)), "", ROW(C16)-9 )</f>
        <v>7</v>
      </c>
      <c r="E16" s="10" t="str">
        <f>IF(D16="","",VLOOKUP(D16,T_MEDIDAS[],2,FALSE))</f>
        <v>Medida 86</v>
      </c>
      <c r="F16" s="11" t="str">
        <f>IF(D16="","",VLOOKUP(D16,T_MEDIDAS[],3,FALSE))</f>
        <v>Respuesta inmediata</v>
      </c>
      <c r="G16" s="11" t="str">
        <f>IF(D16="","",VLOOKUP(D16,T_MEDIDAS[],6,FALSE))</f>
        <v xml:space="preserve">Establecimiento de sistemas y protocolos de coordinación entre los servicios policiales, de emergencia y de atención social para desarrollar actuaciones encaminadas a prevenir, detectar y atender a las personas en situación de sinhogarismo ante olas de calor extremo </v>
      </c>
      <c r="H16" s="22">
        <f>IF(D16="","",VLOOKUP(D16,T_MEDIDAS[],21,FALSE))</f>
        <v>3</v>
      </c>
      <c r="I16" s="22" t="str">
        <f>IF(D16="","",VLOOKUP(D16,T_MEDIDAS[],11,FALSE))</f>
        <v>€</v>
      </c>
      <c r="J16" s="9" t="str">
        <f>IF(D16="","",MID(VLOOKUP(D16,T_MEDIDAS[],20,FALSE),FIND(". ",VLOOKUP(D16,T_MEDIDAS[],20,FALSE))+2,FIND(" (",VLOOKUP(D16,T_MEDIDAS[],20,FALSE))-FIND(".",VLOOKUP(D16,T_MEDIDAS[],20,FALSE))-2))</f>
        <v>Alto</v>
      </c>
      <c r="K16" s="48">
        <f>IF(D16="","",VLOOKUP(D16,T_MEDIDAS[],66,FALSE))</f>
        <v>212.50000085999997</v>
      </c>
      <c r="L16" s="61"/>
      <c r="M16" s="15" t="s">
        <v>75</v>
      </c>
      <c r="N16" s="12">
        <f>COUNTIFS(T_MEDIDAS[Planificación urbana],1,T_MEDIDAS[Peso Criterios],"&gt;0")</f>
        <v>20</v>
      </c>
      <c r="O16" s="61"/>
      <c r="P16" s="61"/>
      <c r="Q16" s="61"/>
      <c r="R16" s="61"/>
      <c r="S16" s="55"/>
    </row>
    <row r="17" spans="1:19" ht="50.1" customHeight="1">
      <c r="A17" s="61"/>
      <c r="B17" s="55"/>
      <c r="C17" s="61"/>
      <c r="D17" s="8">
        <f>IF( ISERROR(VLOOKUP(ROW(C17)-9,T_MEDIDAS[],2,FALSE)), "", ROW(C17)-9 )</f>
        <v>8</v>
      </c>
      <c r="E17" s="14" t="str">
        <f>IF(D17="","",VLOOKUP(D17,T_MEDIDAS[],2,FALSE))</f>
        <v>Medida 47</v>
      </c>
      <c r="F17" s="15" t="str">
        <f>IF(D17="","",VLOOKUP(D17,T_MEDIDAS[],3,FALSE))</f>
        <v>Prevención</v>
      </c>
      <c r="G17" s="15" t="str">
        <f>IF(D17="","",VLOOKUP(D17,T_MEDIDAS[],6,FALSE))</f>
        <v>Identificación de refugios climáticos (zonas arboladas, locales frescos y climatizados) dónde protegerse de las altas temperaturas</v>
      </c>
      <c r="H17" s="23">
        <f>IF(D17="","",VLOOKUP(D17,T_MEDIDAS[],21,FALSE))</f>
        <v>3</v>
      </c>
      <c r="I17" s="23" t="str">
        <f>IF(D17="","",VLOOKUP(D17,T_MEDIDAS[],11,FALSE))</f>
        <v>€</v>
      </c>
      <c r="J17" s="8" t="str">
        <f>IF(D17="","",MID(VLOOKUP(D17,T_MEDIDAS[],20,FALSE),FIND(". ",VLOOKUP(D17,T_MEDIDAS[],20,FALSE))+2,FIND(" (",VLOOKUP(D17,T_MEDIDAS[],20,FALSE))-FIND(".",VLOOKUP(D17,T_MEDIDAS[],20,FALSE))-2))</f>
        <v>Bajo</v>
      </c>
      <c r="K17" s="49">
        <f>IF(D17="","",VLOOKUP(D17,T_MEDIDAS[],66,FALSE))</f>
        <v>212.50000047</v>
      </c>
      <c r="L17" s="61"/>
      <c r="M17" s="15" t="s">
        <v>76</v>
      </c>
      <c r="N17" s="12">
        <f>COUNTIFS(T_MEDIDAS[Cultura y deportes],1,T_MEDIDAS[Peso Criterios],"&gt;0")</f>
        <v>25</v>
      </c>
      <c r="O17" s="61"/>
      <c r="P17" s="61"/>
      <c r="Q17" s="61"/>
      <c r="R17" s="61"/>
      <c r="S17" s="55"/>
    </row>
    <row r="18" spans="1:19" ht="50.1" customHeight="1">
      <c r="A18" s="61"/>
      <c r="B18" s="55"/>
      <c r="C18" s="61"/>
      <c r="D18" s="9">
        <f>IF( ISERROR(VLOOKUP(ROW(C18)-9,T_MEDIDAS[],2,FALSE)), "", ROW(C18)-9 )</f>
        <v>9</v>
      </c>
      <c r="E18" s="10" t="str">
        <f>IF(D18="","",VLOOKUP(D18,T_MEDIDAS[],2,FALSE))</f>
        <v>Medida 4</v>
      </c>
      <c r="F18" s="11" t="str">
        <f>IF(D18="","",VLOOKUP(D18,T_MEDIDAS[],3,FALSE))</f>
        <v>Prevención</v>
      </c>
      <c r="G18" s="11" t="str">
        <f>IF(D18="","",VLOOKUP(D18,T_MEDIDAS[],6,FALSE))</f>
        <v>Elaboración de un protocolo general de actuación en centros educativos ante olas de calor</v>
      </c>
      <c r="H18" s="22">
        <f>IF(D18="","",VLOOKUP(D18,T_MEDIDAS[],21,FALSE))</f>
        <v>2</v>
      </c>
      <c r="I18" s="22" t="str">
        <f>IF(D18="","",VLOOKUP(D18,T_MEDIDAS[],11,FALSE))</f>
        <v>€</v>
      </c>
      <c r="J18" s="9" t="str">
        <f>IF(D18="","",MID(VLOOKUP(D18,T_MEDIDAS[],20,FALSE),FIND(". ",VLOOKUP(D18,T_MEDIDAS[],20,FALSE))+2,FIND(" (",VLOOKUP(D18,T_MEDIDAS[],20,FALSE))-FIND(".",VLOOKUP(D18,T_MEDIDAS[],20,FALSE))-2))</f>
        <v>Sin Riesgo</v>
      </c>
      <c r="K18" s="48">
        <f>IF(D18="","",VLOOKUP(D18,T_MEDIDAS[],66,FALSE))</f>
        <v>212.50000004</v>
      </c>
      <c r="L18" s="61"/>
      <c r="M18" s="15" t="s">
        <v>77</v>
      </c>
      <c r="N18" s="12">
        <f>COUNTIFS(T_MEDIDAS[Turismo],1,T_MEDIDAS[Peso Criterios],"&gt;0")</f>
        <v>9</v>
      </c>
      <c r="O18" s="61"/>
      <c r="P18" s="61"/>
      <c r="Q18" s="61"/>
      <c r="R18" s="61"/>
      <c r="S18" s="55"/>
    </row>
    <row r="19" spans="1:19" ht="50.1" customHeight="1">
      <c r="A19" s="61"/>
      <c r="B19" s="55"/>
      <c r="C19" s="61"/>
      <c r="D19" s="8">
        <f>IF( ISERROR(VLOOKUP(ROW(C19)-9,T_MEDIDAS[],2,FALSE)), "", ROW(C19)-9 )</f>
        <v>10</v>
      </c>
      <c r="E19" s="14" t="str">
        <f>IF(D19="","",VLOOKUP(D19,T_MEDIDAS[],2,FALSE))</f>
        <v>Medida 140</v>
      </c>
      <c r="F19" s="15" t="str">
        <f>IF(D19="","",VLOOKUP(D19,T_MEDIDAS[],3,FALSE))</f>
        <v>Comunicación y sensibilización</v>
      </c>
      <c r="G19" s="15" t="str">
        <f>IF(D19="","",VLOOKUP(D19,T_MEDIDAS[],6,FALSE))</f>
        <v>Elaboración y publicación (online o en papel) de un mapa de la red de refugios climáticos</v>
      </c>
      <c r="H19" s="23">
        <f>IF(D19="","",VLOOKUP(D19,T_MEDIDAS[],21,FALSE))</f>
        <v>2</v>
      </c>
      <c r="I19" s="23" t="str">
        <f>IF(D19="","",VLOOKUP(D19,T_MEDIDAS[],11,FALSE))</f>
        <v>€</v>
      </c>
      <c r="J19" s="8" t="str">
        <f>IF(D19="","",MID(VLOOKUP(D19,T_MEDIDAS[],20,FALSE),FIND(". ",VLOOKUP(D19,T_MEDIDAS[],20,FALSE))+2,FIND(" (",VLOOKUP(D19,T_MEDIDAS[],20,FALSE))-FIND(".",VLOOKUP(D19,T_MEDIDAS[],20,FALSE))-2))</f>
        <v>Alto</v>
      </c>
      <c r="K19" s="49">
        <f>IF(D19="","",VLOOKUP(D19,T_MEDIDAS[],66,FALSE))</f>
        <v>200.00000139999997</v>
      </c>
      <c r="L19" s="61"/>
      <c r="M19" s="15" t="s">
        <v>78</v>
      </c>
      <c r="N19" s="12">
        <f>COUNTIFS(T_MEDIDAS[Riesgos laborales],1,T_MEDIDAS[Peso Criterios],"&gt;0")</f>
        <v>16</v>
      </c>
      <c r="O19" s="61"/>
      <c r="P19" s="61"/>
      <c r="Q19" s="61"/>
      <c r="R19" s="61"/>
      <c r="S19" s="55"/>
    </row>
    <row r="20" spans="1:19" ht="50.1" customHeight="1">
      <c r="A20" s="61"/>
      <c r="B20" s="55"/>
      <c r="C20" s="61"/>
      <c r="D20" s="10">
        <f>IF( ISERROR(VLOOKUP(ROW(C20)-9,T_MEDIDAS[],2,FALSE)), "", ROW(C20)-9 )</f>
        <v>11</v>
      </c>
      <c r="E20" s="10" t="str">
        <f>IF(D20="","",VLOOKUP(D20,T_MEDIDAS[],2,FALSE))</f>
        <v>Medida 134</v>
      </c>
      <c r="F20" s="11" t="str">
        <f>IF(D20="","",VLOOKUP(D20,T_MEDIDAS[],3,FALSE))</f>
        <v>Comunicación y sensibilización</v>
      </c>
      <c r="G20" s="11" t="str">
        <f>IF(D20="","",VLOOKUP(D20,T_MEDIDAS[],6,FALSE))</f>
        <v>Campaña de fomento de la solidaridad y la prevención en el entorno familiar, vecinal y comunitario, especialmente para la atención de las personas enfermas y necesitadas.</v>
      </c>
      <c r="H20" s="22">
        <f>IF(D20="","",VLOOKUP(D20,T_MEDIDAS[],21,FALSE))</f>
        <v>1</v>
      </c>
      <c r="I20" s="22" t="str">
        <f>IF(D20="","",VLOOKUP(D20,T_MEDIDAS[],11,FALSE))</f>
        <v>€</v>
      </c>
      <c r="J20" s="9" t="str">
        <f>IF(D20="","",MID(VLOOKUP(D20,T_MEDIDAS[],20,FALSE),FIND(". ",VLOOKUP(D20,T_MEDIDAS[],20,FALSE))+2,FIND(" (",VLOOKUP(D20,T_MEDIDAS[],20,FALSE))-FIND(".",VLOOKUP(D20,T_MEDIDAS[],20,FALSE))-2))</f>
        <v>Alto</v>
      </c>
      <c r="K20" s="48">
        <f>IF(D20="","",VLOOKUP(D20,T_MEDIDAS[],66,FALSE))</f>
        <v>200.00000134000001</v>
      </c>
      <c r="L20" s="61"/>
      <c r="M20" s="15" t="s">
        <v>79</v>
      </c>
      <c r="N20" s="12">
        <f>COUNTIFS(T_MEDIDAS[Educación],1,T_MEDIDAS[Peso Criterios],"&gt;0")</f>
        <v>31</v>
      </c>
      <c r="O20" s="61"/>
      <c r="P20" s="61"/>
      <c r="Q20" s="61"/>
      <c r="R20" s="61"/>
      <c r="S20" s="55"/>
    </row>
    <row r="21" spans="1:19" ht="50.1" customHeight="1">
      <c r="A21" s="61"/>
      <c r="B21" s="55"/>
      <c r="C21" s="61"/>
      <c r="D21" s="14">
        <f>IF( ISERROR(VLOOKUP(ROW(C21)-9,T_MEDIDAS[],2,FALSE)), "", ROW(C21)-9 )</f>
        <v>12</v>
      </c>
      <c r="E21" s="14" t="str">
        <f>IF(D21="","",VLOOKUP(D21,T_MEDIDAS[],2,FALSE))</f>
        <v>Medida 128</v>
      </c>
      <c r="F21" s="15" t="str">
        <f>IF(D21="","",VLOOKUP(D21,T_MEDIDAS[],3,FALSE))</f>
        <v>Comunicación y sensibilización</v>
      </c>
      <c r="G21" s="15" t="str">
        <f>IF(D21="","",VLOOKUP(D21,T_MEDIDAS[],6,FALSE))</f>
        <v>Campañas para el refuerzo de la red social de las personas mayores que viven solas, mediante voluntariados o teleasistencia durante el verano (ej. contactar al menos una vez al día para valorar su estado)</v>
      </c>
      <c r="H21" s="23">
        <f>IF(D21="","",VLOOKUP(D21,T_MEDIDAS[],21,FALSE))</f>
        <v>1</v>
      </c>
      <c r="I21" s="23" t="str">
        <f>IF(D21="","",VLOOKUP(D21,T_MEDIDAS[],11,FALSE))</f>
        <v>€</v>
      </c>
      <c r="J21" s="8" t="str">
        <f>IF(D21="","",MID(VLOOKUP(D21,T_MEDIDAS[],20,FALSE),FIND(". ",VLOOKUP(D21,T_MEDIDAS[],20,FALSE))+2,FIND(" (",VLOOKUP(D21,T_MEDIDAS[],20,FALSE))-FIND(".",VLOOKUP(D21,T_MEDIDAS[],20,FALSE))-2))</f>
        <v>Alto</v>
      </c>
      <c r="K21" s="49">
        <f>IF(D21="","",VLOOKUP(D21,T_MEDIDAS[],66,FALSE))</f>
        <v>200.00000128000002</v>
      </c>
      <c r="L21" s="61"/>
      <c r="M21" s="15" t="s">
        <v>80</v>
      </c>
      <c r="N21" s="12">
        <f>COUNTIFS(T_MEDIDAS[Servicios sociales],1,T_MEDIDAS[Peso Criterios],"&gt;0")</f>
        <v>32</v>
      </c>
      <c r="O21" s="61"/>
      <c r="P21" s="61"/>
      <c r="Q21" s="61"/>
      <c r="R21" s="61"/>
      <c r="S21" s="55"/>
    </row>
    <row r="22" spans="1:19" ht="50.1" customHeight="1">
      <c r="A22" s="61"/>
      <c r="B22" s="55"/>
      <c r="C22" s="61"/>
      <c r="D22" s="10">
        <f>IF( ISERROR(VLOOKUP(ROW(C22)-9,T_MEDIDAS[],2,FALSE)), "", ROW(C22)-9 )</f>
        <v>13</v>
      </c>
      <c r="E22" s="10" t="str">
        <f>IF(D22="","",VLOOKUP(D22,T_MEDIDAS[],2,FALSE))</f>
        <v>Medida 124</v>
      </c>
      <c r="F22" s="11" t="str">
        <f>IF(D22="","",VLOOKUP(D22,T_MEDIDAS[],3,FALSE))</f>
        <v>Comunicación y sensibilización</v>
      </c>
      <c r="G22" s="11" t="str">
        <f>IF(D22="","",VLOOKUP(D22,T_MEDIDAS[],6,FALSE))</f>
        <v xml:space="preserve">Formación de agentes implicados en el sistema de prevención de altas temperaturas extremas sobre el protocolo de actuación </v>
      </c>
      <c r="H22" s="22">
        <f>IF(D22="","",VLOOKUP(D22,T_MEDIDAS[],21,FALSE))</f>
        <v>3</v>
      </c>
      <c r="I22" s="22" t="str">
        <f>IF(D22="","",VLOOKUP(D22,T_MEDIDAS[],11,FALSE))</f>
        <v>€</v>
      </c>
      <c r="J22" s="9" t="str">
        <f>IF(D22="","",MID(VLOOKUP(D22,T_MEDIDAS[],20,FALSE),FIND(". ",VLOOKUP(D22,T_MEDIDAS[],20,FALSE))+2,FIND(" (",VLOOKUP(D22,T_MEDIDAS[],20,FALSE))-FIND(".",VLOOKUP(D22,T_MEDIDAS[],20,FALSE))-2))</f>
        <v>Bajo</v>
      </c>
      <c r="K22" s="48">
        <f>IF(D22="","",VLOOKUP(D22,T_MEDIDAS[],66,FALSE))</f>
        <v>200.00000124000002</v>
      </c>
      <c r="L22" s="61"/>
      <c r="M22" s="15" t="s">
        <v>81</v>
      </c>
      <c r="N22" s="12">
        <f>COUNTIFS(T_MEDIDAS[Servicios de emergencia y policía],1,T_MEDIDAS[Peso Criterios],"&gt;0")</f>
        <v>11</v>
      </c>
      <c r="O22" s="61"/>
      <c r="P22" s="61"/>
      <c r="Q22" s="61"/>
      <c r="R22" s="61"/>
      <c r="S22" s="55"/>
    </row>
    <row r="23" spans="1:19" ht="50.1" customHeight="1">
      <c r="A23" s="61"/>
      <c r="B23" s="55"/>
      <c r="C23" s="61"/>
      <c r="D23" s="14">
        <f>IF( ISERROR(VLOOKUP(ROW(C23)-9,T_MEDIDAS[],2,FALSE)), "", ROW(C23)-9 )</f>
        <v>14</v>
      </c>
      <c r="E23" s="14" t="str">
        <f>IF(D23="","",VLOOKUP(D23,T_MEDIDAS[],2,FALSE))</f>
        <v>Medida 123</v>
      </c>
      <c r="F23" s="15" t="str">
        <f>IF(D23="","",VLOOKUP(D23,T_MEDIDAS[],3,FALSE))</f>
        <v>Comunicación y sensibilización</v>
      </c>
      <c r="G23" s="15" t="str">
        <f>IF(D23="","",VLOOKUP(D23,T_MEDIDAS[],6,FALSE))</f>
        <v>Formación e información orientada a trabajadores que realizan actividades en el exterior sobre los efectos de las altas temperaturas en la salud, los síntomas previos al golpe de calor, así como las medidas preventivas específicas a adoptar</v>
      </c>
      <c r="H23" s="23">
        <f>IF(D23="","",VLOOKUP(D23,T_MEDIDAS[],21,FALSE))</f>
        <v>1</v>
      </c>
      <c r="I23" s="23" t="str">
        <f>IF(D23="","",VLOOKUP(D23,T_MEDIDAS[],11,FALSE))</f>
        <v>€</v>
      </c>
      <c r="J23" s="8" t="str">
        <f>IF(D23="","",MID(VLOOKUP(D23,T_MEDIDAS[],20,FALSE),FIND(". ",VLOOKUP(D23,T_MEDIDAS[],20,FALSE))+2,FIND(" (",VLOOKUP(D23,T_MEDIDAS[],20,FALSE))-FIND(".",VLOOKUP(D23,T_MEDIDAS[],20,FALSE))-2))</f>
        <v>Medio</v>
      </c>
      <c r="K23" s="49">
        <f>IF(D23="","",VLOOKUP(D23,T_MEDIDAS[],66,FALSE))</f>
        <v>200.00000123000001</v>
      </c>
      <c r="L23" s="61"/>
      <c r="M23" s="15" t="s">
        <v>82</v>
      </c>
      <c r="N23" s="12">
        <f>COUNTIFS(T_MEDIDAS[Parques y jardines],1,T_MEDIDAS[Peso Criterios],"&gt;0")</f>
        <v>17</v>
      </c>
      <c r="O23" s="61"/>
      <c r="P23" s="61"/>
      <c r="Q23" s="61"/>
      <c r="R23" s="61"/>
      <c r="S23" s="55"/>
    </row>
    <row r="24" spans="1:19" ht="50.1" customHeight="1">
      <c r="A24" s="61"/>
      <c r="B24" s="55"/>
      <c r="C24" s="61"/>
      <c r="D24" s="10">
        <f>IF( ISERROR(VLOOKUP(ROW(C24)-9,T_MEDIDAS[],2,FALSE)), "", ROW(C24)-9 )</f>
        <v>15</v>
      </c>
      <c r="E24" s="10" t="str">
        <f>IF(D24="","",VLOOKUP(D24,T_MEDIDAS[],2,FALSE))</f>
        <v>Medida 121</v>
      </c>
      <c r="F24" s="11" t="str">
        <f>IF(D24="","",VLOOKUP(D24,T_MEDIDAS[],3,FALSE))</f>
        <v>Comunicación y sensibilización</v>
      </c>
      <c r="G24" s="11" t="str">
        <f>IF(D24="","",VLOOKUP(D24,T_MEDIDAS[],6,FALSE))</f>
        <v>Clasificación y "personificación" de las olas de calor, dándoles nombre (tal y como se hace con terremotos y huracanes) con el objetivo de sensibilizar a la ciudadanía y que esta tome medidas efectivas para protegerse frente al calor extremo.</v>
      </c>
      <c r="H24" s="22">
        <f>IF(D24="","",VLOOKUP(D24,T_MEDIDAS[],21,FALSE))</f>
        <v>1</v>
      </c>
      <c r="I24" s="22" t="str">
        <f>IF(D24="","",VLOOKUP(D24,T_MEDIDAS[],11,FALSE))</f>
        <v>€</v>
      </c>
      <c r="J24" s="9" t="str">
        <f>IF(D24="","",MID(VLOOKUP(D24,T_MEDIDAS[],20,FALSE),FIND(". ",VLOOKUP(D24,T_MEDIDAS[],20,FALSE))+2,FIND(" (",VLOOKUP(D24,T_MEDIDAS[],20,FALSE))-FIND(".",VLOOKUP(D24,T_MEDIDAS[],20,FALSE))-2))</f>
        <v>Alto</v>
      </c>
      <c r="K24" s="48">
        <f>IF(D24="","",VLOOKUP(D24,T_MEDIDAS[],66,FALSE))</f>
        <v>200.00000121000002</v>
      </c>
      <c r="L24" s="61"/>
      <c r="M24" s="15" t="s">
        <v>83</v>
      </c>
      <c r="N24" s="12">
        <f>COUNTIFS(T_MEDIDAS[Transporte],1,T_MEDIDAS[Peso Criterios],"&gt;0")</f>
        <v>5</v>
      </c>
      <c r="O24" s="61"/>
      <c r="P24" s="61"/>
      <c r="Q24" s="61"/>
      <c r="R24" s="61"/>
      <c r="S24" s="55"/>
    </row>
    <row r="25" spans="1:19" ht="50.1" customHeight="1">
      <c r="A25" s="61"/>
      <c r="B25" s="55"/>
      <c r="C25" s="61"/>
      <c r="D25" s="14">
        <f>IF( ISERROR(VLOOKUP(ROW(C25)-9,T_MEDIDAS[],2,FALSE)), "", ROW(C25)-9 )</f>
        <v>16</v>
      </c>
      <c r="E25" s="14" t="str">
        <f>IF(D25="","",VLOOKUP(D25,T_MEDIDAS[],2,FALSE))</f>
        <v>Medida 120</v>
      </c>
      <c r="F25" s="15" t="str">
        <f>IF(D25="","",VLOOKUP(D25,T_MEDIDAS[],3,FALSE))</f>
        <v>Comunicación y sensibilización</v>
      </c>
      <c r="G25" s="15" t="str">
        <f>IF(D25="","",VLOOKUP(D25,T_MEDIDAS[],6,FALSE))</f>
        <v xml:space="preserve">Formación al profesorado para identificar los efectos del organismo ante un golpe de calor en centros educativos </v>
      </c>
      <c r="H25" s="23">
        <f>IF(D25="","",VLOOKUP(D25,T_MEDIDAS[],21,FALSE))</f>
        <v>1</v>
      </c>
      <c r="I25" s="23" t="str">
        <f>IF(D25="","",VLOOKUP(D25,T_MEDIDAS[],11,FALSE))</f>
        <v>€</v>
      </c>
      <c r="J25" s="8" t="str">
        <f>IF(D25="","",MID(VLOOKUP(D25,T_MEDIDAS[],20,FALSE),FIND(". ",VLOOKUP(D25,T_MEDIDAS[],20,FALSE))+2,FIND(" (",VLOOKUP(D25,T_MEDIDAS[],20,FALSE))-FIND(".",VLOOKUP(D25,T_MEDIDAS[],20,FALSE))-2))</f>
        <v>Medio</v>
      </c>
      <c r="K25" s="49">
        <f>IF(D25="","",VLOOKUP(D25,T_MEDIDAS[],66,FALSE))</f>
        <v>200.00000120000001</v>
      </c>
      <c r="L25" s="61"/>
      <c r="M25" s="15" t="s">
        <v>84</v>
      </c>
      <c r="N25" s="12">
        <f>COUNTIFS(T_MEDIDAS[Coordinación],1,T_MEDIDAS[Peso Criterios],"&gt;0")</f>
        <v>24</v>
      </c>
      <c r="O25" s="61"/>
      <c r="P25" s="61"/>
      <c r="Q25" s="61"/>
      <c r="R25" s="61"/>
      <c r="S25" s="55"/>
    </row>
    <row r="26" spans="1:19" ht="50.1" customHeight="1">
      <c r="A26" s="61"/>
      <c r="B26" s="55"/>
      <c r="C26" s="61"/>
      <c r="D26" s="10">
        <f>IF( ISERROR(VLOOKUP(ROW(C26)-9,T_MEDIDAS[],2,FALSE)), "", ROW(C26)-9 )</f>
        <v>17</v>
      </c>
      <c r="E26" s="10" t="str">
        <f>IF(D26="","",VLOOKUP(D26,T_MEDIDAS[],2,FALSE))</f>
        <v>Medida 119</v>
      </c>
      <c r="F26" s="11" t="str">
        <f>IF(D26="","",VLOOKUP(D26,T_MEDIDAS[],3,FALSE))</f>
        <v>Comunicación y sensibilización</v>
      </c>
      <c r="G26" s="11" t="str">
        <f>IF(D26="","",VLOOKUP(D26,T_MEDIDAS[],6,FALSE))</f>
        <v>Capacitación para familias sobre cómo evitar riesgos derivados del calor extremo en la infancia, proporcionando información sobre protección ante altas temperaturas excepcionales (vestimenta, uso de protección solar…), o desayunos adecuados.</v>
      </c>
      <c r="H26" s="22">
        <f>IF(D26="","",VLOOKUP(D26,T_MEDIDAS[],21,FALSE))</f>
        <v>1</v>
      </c>
      <c r="I26" s="22" t="str">
        <f>IF(D26="","",VLOOKUP(D26,T_MEDIDAS[],11,FALSE))</f>
        <v>€</v>
      </c>
      <c r="J26" s="9" t="str">
        <f>IF(D26="","",MID(VLOOKUP(D26,T_MEDIDAS[],20,FALSE),FIND(". ",VLOOKUP(D26,T_MEDIDAS[],20,FALSE))+2,FIND(" (",VLOOKUP(D26,T_MEDIDAS[],20,FALSE))-FIND(".",VLOOKUP(D26,T_MEDIDAS[],20,FALSE))-2))</f>
        <v>Medio</v>
      </c>
      <c r="K26" s="48">
        <f>IF(D26="","",VLOOKUP(D26,T_MEDIDAS[],66,FALSE))</f>
        <v>200.00000119000001</v>
      </c>
      <c r="L26" s="61"/>
      <c r="M26" s="61"/>
      <c r="N26" s="61"/>
      <c r="O26" s="61"/>
      <c r="P26" s="61"/>
      <c r="Q26" s="61"/>
      <c r="R26" s="61"/>
      <c r="S26" s="55"/>
    </row>
    <row r="27" spans="1:19" ht="50.1" customHeight="1">
      <c r="A27" s="61"/>
      <c r="B27" s="55"/>
      <c r="C27" s="61"/>
      <c r="D27" s="14">
        <f>IF( ISERROR(VLOOKUP(ROW(C27)-9,T_MEDIDAS[],2,FALSE)), "", ROW(C27)-9 )</f>
        <v>18</v>
      </c>
      <c r="E27" s="14" t="str">
        <f>IF(D27="","",VLOOKUP(D27,T_MEDIDAS[],2,FALSE))</f>
        <v>Medida 101</v>
      </c>
      <c r="F27" s="15" t="str">
        <f>IF(D27="","",VLOOKUP(D27,T_MEDIDAS[],3,FALSE))</f>
        <v>Respuesta inmediata</v>
      </c>
      <c r="G27" s="15" t="str">
        <f>IF(D27="","",VLOOKUP(D27,T_MEDIDAS[],6,FALSE))</f>
        <v>Vigilancia y adecuación de eventos deportivos (celebración fuera de horas de más calor, valoración de suspensión o aplazamiento en caso de temperaturas extremas, asegurar números y lugares de puntos de hidratación o avituallamiento, etc.)</v>
      </c>
      <c r="H27" s="23">
        <f>IF(D27="","",VLOOKUP(D27,T_MEDIDAS[],21,FALSE))</f>
        <v>1</v>
      </c>
      <c r="I27" s="23" t="str">
        <f>IF(D27="","",VLOOKUP(D27,T_MEDIDAS[],11,FALSE))</f>
        <v>€</v>
      </c>
      <c r="J27" s="8" t="str">
        <f>IF(D27="","",MID(VLOOKUP(D27,T_MEDIDAS[],20,FALSE),FIND(". ",VLOOKUP(D27,T_MEDIDAS[],20,FALSE))+2,FIND(" (",VLOOKUP(D27,T_MEDIDAS[],20,FALSE))-FIND(".",VLOOKUP(D27,T_MEDIDAS[],20,FALSE))-2))</f>
        <v>Alto</v>
      </c>
      <c r="K27" s="49">
        <f>IF(D27="","",VLOOKUP(D27,T_MEDIDAS[],66,FALSE))</f>
        <v>200.00000101000001</v>
      </c>
      <c r="L27" s="61"/>
      <c r="M27" s="163" t="s">
        <v>85</v>
      </c>
      <c r="N27" s="164"/>
      <c r="O27" s="164"/>
      <c r="P27" s="164"/>
      <c r="Q27" s="165"/>
      <c r="R27" s="61"/>
      <c r="S27" s="55"/>
    </row>
    <row r="28" spans="1:19" ht="50.1" customHeight="1">
      <c r="A28" s="61"/>
      <c r="B28" s="55"/>
      <c r="C28" s="61"/>
      <c r="D28" s="10">
        <f>IF( ISERROR(VLOOKUP(ROW(C28)-9,T_MEDIDAS[],2,FALSE)), "", ROW(C28)-9 )</f>
        <v>19</v>
      </c>
      <c r="E28" s="10" t="str">
        <f>IF(D28="","",VLOOKUP(D28,T_MEDIDAS[],2,FALSE))</f>
        <v>Medida 100</v>
      </c>
      <c r="F28" s="11" t="str">
        <f>IF(D28="","",VLOOKUP(D28,T_MEDIDAS[],3,FALSE))</f>
        <v>Respuesta inmediata</v>
      </c>
      <c r="G28" s="11" t="str">
        <f>IF(D28="","",VLOOKUP(D28,T_MEDIDAS[],6,FALSE))</f>
        <v>Red de servicios municipales: identificación de población diana y contacto a través de los servicios de ayuda a domicilio y teleasistencia, y de los centros sociales</v>
      </c>
      <c r="H28" s="22">
        <f>IF(D28="","",VLOOKUP(D28,T_MEDIDAS[],21,FALSE))</f>
        <v>1</v>
      </c>
      <c r="I28" s="22" t="str">
        <f>IF(D28="","",VLOOKUP(D28,T_MEDIDAS[],11,FALSE))</f>
        <v>€</v>
      </c>
      <c r="J28" s="9" t="str">
        <f>IF(D28="","",MID(VLOOKUP(D28,T_MEDIDAS[],20,FALSE),FIND(". ",VLOOKUP(D28,T_MEDIDAS[],20,FALSE))+2,FIND(" (",VLOOKUP(D28,T_MEDIDAS[],20,FALSE))-FIND(".",VLOOKUP(D28,T_MEDIDAS[],20,FALSE))-2))</f>
        <v>Alto</v>
      </c>
      <c r="K28" s="48">
        <f>IF(D28="","",VLOOKUP(D28,T_MEDIDAS[],66,FALSE))</f>
        <v>200.000001</v>
      </c>
      <c r="L28" s="61"/>
      <c r="M28" s="93" t="s">
        <v>41</v>
      </c>
      <c r="N28" s="93" t="s">
        <v>86</v>
      </c>
      <c r="O28" s="93" t="s">
        <v>87</v>
      </c>
      <c r="P28" s="93" t="s">
        <v>88</v>
      </c>
      <c r="Q28" s="94" t="s">
        <v>89</v>
      </c>
      <c r="R28" s="61"/>
      <c r="S28" s="55"/>
    </row>
    <row r="29" spans="1:19" ht="50.1" customHeight="1">
      <c r="A29" s="61"/>
      <c r="B29" s="55"/>
      <c r="C29" s="61"/>
      <c r="D29" s="14">
        <f>IF( ISERROR(VLOOKUP(ROW(C29)-9,T_MEDIDAS[],2,FALSE)), "", ROW(C29)-9 )</f>
        <v>20</v>
      </c>
      <c r="E29" s="14" t="str">
        <f>IF(D29="","",VLOOKUP(D29,T_MEDIDAS[],2,FALSE))</f>
        <v>Medida 96</v>
      </c>
      <c r="F29" s="15" t="str">
        <f>IF(D29="","",VLOOKUP(D29,T_MEDIDAS[],3,FALSE))</f>
        <v>Respuesta inmediata</v>
      </c>
      <c r="G29" s="15" t="str">
        <f>IF(D29="","",VLOOKUP(D29,T_MEDIDAS[],6,FALSE))</f>
        <v>Mejora de la ventilación de edificios públicos para reducir la temperatura en interiores: ventilación en las horas más frescas del día, favoreciendo la ventilación natural cruzada de los espacios, y favoreciendo la entrada de aire de las zonas que se encuentren en sombra.</v>
      </c>
      <c r="H29" s="23">
        <f>IF(D29="","",VLOOKUP(D29,T_MEDIDAS[],21,FALSE))</f>
        <v>4</v>
      </c>
      <c r="I29" s="23" t="str">
        <f>IF(D29="","",VLOOKUP(D29,T_MEDIDAS[],11,FALSE))</f>
        <v>€</v>
      </c>
      <c r="J29" s="8" t="str">
        <f>IF(D29="","",MID(VLOOKUP(D29,T_MEDIDAS[],20,FALSE),FIND(". ",VLOOKUP(D29,T_MEDIDAS[],20,FALSE))+2,FIND(" (",VLOOKUP(D29,T_MEDIDAS[],20,FALSE))-FIND(".",VLOOKUP(D29,T_MEDIDAS[],20,FALSE))-2))</f>
        <v>Alto</v>
      </c>
      <c r="K29" s="49">
        <f>IF(D29="","",VLOOKUP(D29,T_MEDIDAS[],66,FALSE))</f>
        <v>200.00000095999999</v>
      </c>
      <c r="L29" s="61"/>
      <c r="M29" s="15" t="s">
        <v>90</v>
      </c>
      <c r="N29" s="52">
        <f>AVERAGEIF(T_MEDIDAS[Ranking],"&gt;0",T_MEDIDAS[C1_Refrigeración])*'2.PONDERACIÓN'!$M$13*100</f>
        <v>5.6737588652482271</v>
      </c>
      <c r="O29" s="52">
        <f>AVERAGEIFS(T_MEDIDAS[C1_Refrigeración], T_MEDIDAS[Ranking],"&lt;=20", T_MEDIDAS[Peso Criterios], "&gt;0")*'2.PONDERACIÓN'!$M$13*100</f>
        <v>0.625</v>
      </c>
      <c r="P29" s="52">
        <f>AVERAGEIF(T_MEDIDAS[Ranking], "&gt;="&amp;MAX(T_MEDIDAS[Ranking])-19,T_MEDIDAS[C1_Refrigeración])*'2.PONDERACIÓN'!$M$13*100</f>
        <v>12.5</v>
      </c>
      <c r="Q29" s="28"/>
      <c r="R29" s="61"/>
      <c r="S29" s="55"/>
    </row>
    <row r="30" spans="1:19" ht="50.1" customHeight="1">
      <c r="A30" s="61"/>
      <c r="B30" s="55"/>
      <c r="C30" s="61"/>
      <c r="D30" s="12">
        <f>IF( ISERROR(VLOOKUP(ROW(C30)-9,T_MEDIDAS[],2,FALSE)), "", ROW(C30)-9 )</f>
        <v>21</v>
      </c>
      <c r="E30" s="12" t="str">
        <f>IF(D30="","",VLOOKUP(D30,T_MEDIDAS[],2,FALSE))</f>
        <v>Medida 92</v>
      </c>
      <c r="F30" s="17" t="str">
        <f>IF(D30="","",VLOOKUP(D30,T_MEDIDAS[],3,FALSE))</f>
        <v>Respuesta inmediata</v>
      </c>
      <c r="G30" s="17" t="str">
        <f>IF(D30="","",VLOOKUP(D30,T_MEDIDAS[],6,FALSE))</f>
        <v>Revisión de actividades complementarias fuera del centro docente (visitas, excursiones, actividades culturales, recreativas o deportivas) para su reprogramación, aplazamiento o cancelación bajo el criterio de protección de todos los miembros de la comunidad educativa</v>
      </c>
      <c r="H30" s="24">
        <f>IF(D30="","",VLOOKUP(D30,T_MEDIDAS[],21,FALSE))</f>
        <v>1</v>
      </c>
      <c r="I30" s="24" t="str">
        <f>IF(D30="","",VLOOKUP(D30,T_MEDIDAS[],11,FALSE))</f>
        <v>€</v>
      </c>
      <c r="J30" s="45" t="str">
        <f>IF(D30="","",MID(VLOOKUP(D30,T_MEDIDAS[],20,FALSE),FIND(". ",VLOOKUP(D30,T_MEDIDAS[],20,FALSE))+2,FIND(" (",VLOOKUP(D30,T_MEDIDAS[],20,FALSE))-FIND(".",VLOOKUP(D30,T_MEDIDAS[],20,FALSE))-2))</f>
        <v>Medio</v>
      </c>
      <c r="K30" s="50">
        <f>IF(D30="","",VLOOKUP(D30,T_MEDIDAS[],66,FALSE))</f>
        <v>200.00000091999999</v>
      </c>
      <c r="L30" s="61"/>
      <c r="M30" s="15" t="s">
        <v>91</v>
      </c>
      <c r="N30" s="52">
        <f>AVERAGEIF(T_MEDIDAS[Ranking],"&gt;0",T_MEDIDAS[C2_Verde Azul])*'2.PONDERACIÓN'!$M$14*100</f>
        <v>2.5709219858156027</v>
      </c>
      <c r="O30" s="52">
        <f>AVERAGEIFS(T_MEDIDAS[C2_Verde Azul], T_MEDIDAS[Ranking],"&lt;=20", T_MEDIDAS[Peso Criterios], "&gt;0")*'2.PONDERACIÓN'!$M$14*100</f>
        <v>0</v>
      </c>
      <c r="P30" s="52">
        <f>AVERAGEIF(T_MEDIDAS[Ranking], "&gt;="&amp;MAX(T_MEDIDAS[Ranking])-19,T_MEDIDAS[C2_Verde Azul])*'2.PONDERACIÓN'!$M$14*100</f>
        <v>7.5</v>
      </c>
      <c r="Q30" s="28"/>
      <c r="R30" s="61"/>
      <c r="S30" s="55"/>
    </row>
    <row r="31" spans="1:19" ht="50.1" customHeight="1">
      <c r="A31" s="61"/>
      <c r="B31" s="55"/>
      <c r="C31" s="61"/>
      <c r="D31" s="18">
        <f>IF( ISERROR(VLOOKUP(ROW(C31)-9,T_MEDIDAS[],2,FALSE)), "", ROW(C31)-9 )</f>
        <v>22</v>
      </c>
      <c r="E31" s="18" t="str">
        <f>IF(D31="","",VLOOKUP(D31,T_MEDIDAS[],2,FALSE))</f>
        <v>Medida 91</v>
      </c>
      <c r="F31" s="13" t="str">
        <f>IF(D31="","",VLOOKUP(D31,T_MEDIDAS[],3,FALSE))</f>
        <v>Respuesta inmediata</v>
      </c>
      <c r="G31" s="13" t="str">
        <f>IF(D31="","",VLOOKUP(D31,T_MEDIDAS[],6,FALSE))</f>
        <v>Flexibilización del horario del alumnado para adaptarse a las circunstancias de altas temperaturas excepcionales, pudiendo implicar la salida anticipada los días en que se active la alerta naranja o roja, previa comunicación adecuada a las familias y autorizada por representantes legales</v>
      </c>
      <c r="H31" s="25">
        <f>IF(D31="","",VLOOKUP(D31,T_MEDIDAS[],21,FALSE))</f>
        <v>1</v>
      </c>
      <c r="I31" s="25" t="str">
        <f>IF(D31="","",VLOOKUP(D31,T_MEDIDAS[],11,FALSE))</f>
        <v>€</v>
      </c>
      <c r="J31" s="46" t="str">
        <f>IF(D31="","",MID(VLOOKUP(D31,T_MEDIDAS[],20,FALSE),FIND(". ",VLOOKUP(D31,T_MEDIDAS[],20,FALSE))+2,FIND(" (",VLOOKUP(D31,T_MEDIDAS[],20,FALSE))-FIND(".",VLOOKUP(D31,T_MEDIDAS[],20,FALSE))-2))</f>
        <v>Alto</v>
      </c>
      <c r="K31" s="51">
        <f>IF(D31="","",VLOOKUP(D31,T_MEDIDAS[],66,FALSE))</f>
        <v>200.00000090999998</v>
      </c>
      <c r="L31" s="61"/>
      <c r="M31" s="15" t="s">
        <v>92</v>
      </c>
      <c r="N31" s="52">
        <f>AVERAGEIF(T_MEDIDAS[Ranking],"&gt;0",T_MEDIDAS[C3_Vulnerables])*'2.PONDERACIÓN'!$M$15*100</f>
        <v>25.265957446808514</v>
      </c>
      <c r="O31" s="52">
        <f>AVERAGEIFS(T_MEDIDAS[C3_Vulnerables], T_MEDIDAS[Ranking],"&lt;=20", T_MEDIDAS[Peso Criterios], "&gt;0")*'2.PONDERACIÓN'!$M$15*100</f>
        <v>34.375</v>
      </c>
      <c r="P31" s="52">
        <f>AVERAGEIF(T_MEDIDAS[Ranking], "&gt;="&amp;MAX(T_MEDIDAS[Ranking])-19,T_MEDIDAS[C3_Vulnerables])*'2.PONDERACIÓN'!$M$15*100</f>
        <v>11.875</v>
      </c>
      <c r="Q31" s="28"/>
      <c r="R31" s="61"/>
      <c r="S31" s="55"/>
    </row>
    <row r="32" spans="1:19" ht="50.1" customHeight="1">
      <c r="A32" s="61"/>
      <c r="B32" s="55"/>
      <c r="C32" s="61"/>
      <c r="D32" s="12">
        <f>IF( ISERROR(VLOOKUP(ROW(C32)-9,T_MEDIDAS[],2,FALSE)), "", ROW(C32)-9 )</f>
        <v>23</v>
      </c>
      <c r="E32" s="12" t="str">
        <f>IF(D32="","",VLOOKUP(D32,T_MEDIDAS[],2,FALSE))</f>
        <v>Medida 90</v>
      </c>
      <c r="F32" s="17" t="str">
        <f>IF(D32="","",VLOOKUP(D32,T_MEDIDAS[],3,FALSE))</f>
        <v>Respuesta inmediata</v>
      </c>
      <c r="G32" s="17" t="str">
        <f>IF(D32="","",VLOOKUP(D32,T_MEDIDAS[],6,FALSE))</f>
        <v>Programación alternativa de actividades extraescolares o actividades de escuelas de verano durante olas de calor</v>
      </c>
      <c r="H32" s="24">
        <f>IF(D32="","",VLOOKUP(D32,T_MEDIDAS[],21,FALSE))</f>
        <v>1</v>
      </c>
      <c r="I32" s="24" t="str">
        <f>IF(D32="","",VLOOKUP(D32,T_MEDIDAS[],11,FALSE))</f>
        <v>€</v>
      </c>
      <c r="J32" s="45" t="str">
        <f>IF(D32="","",MID(VLOOKUP(D32,T_MEDIDAS[],20,FALSE),FIND(". ",VLOOKUP(D32,T_MEDIDAS[],20,FALSE))+2,FIND(" (",VLOOKUP(D32,T_MEDIDAS[],20,FALSE))-FIND(".",VLOOKUP(D32,T_MEDIDAS[],20,FALSE))-2))</f>
        <v>Alto</v>
      </c>
      <c r="K32" s="50">
        <f>IF(D32="","",VLOOKUP(D32,T_MEDIDAS[],66,FALSE))</f>
        <v>200.00000089999997</v>
      </c>
      <c r="L32" s="61"/>
      <c r="M32" s="15" t="s">
        <v>93</v>
      </c>
      <c r="N32" s="52">
        <f>AVERAGEIF(T_MEDIDAS[Ranking],"&gt;0",T_MEDIDAS[C4_Población])*'2.PONDERACIÓN'!$M$16*100</f>
        <v>25.443262411347519</v>
      </c>
      <c r="O32" s="52">
        <f>AVERAGEIFS(T_MEDIDAS[C4_Población], T_MEDIDAS[Ranking],"&lt;=20", T_MEDIDAS[Peso Criterios], "&gt;0")*'2.PONDERACIÓN'!$M$16*100</f>
        <v>33.125</v>
      </c>
      <c r="P32" s="52">
        <f>AVERAGEIF(T_MEDIDAS[Ranking], "&gt;="&amp;MAX(T_MEDIDAS[Ranking])-19,T_MEDIDAS[C4_Población])*'2.PONDERACIÓN'!$M$16*100</f>
        <v>18.125</v>
      </c>
      <c r="Q32" s="28"/>
      <c r="R32" s="61"/>
      <c r="S32" s="55"/>
    </row>
    <row r="33" spans="1:19" ht="50.1" customHeight="1">
      <c r="A33" s="61"/>
      <c r="B33" s="55"/>
      <c r="C33" s="61"/>
      <c r="D33" s="18">
        <f>IF( ISERROR(VLOOKUP(ROW(C33)-9,T_MEDIDAS[],2,FALSE)), "", ROW(C33)-9 )</f>
        <v>24</v>
      </c>
      <c r="E33" s="18" t="str">
        <f>IF(D33="","",VLOOKUP(D33,T_MEDIDAS[],2,FALSE))</f>
        <v>Medida 89</v>
      </c>
      <c r="F33" s="13" t="str">
        <f>IF(D33="","",VLOOKUP(D33,T_MEDIDAS[],3,FALSE))</f>
        <v>Respuesta inmediata</v>
      </c>
      <c r="G33" s="13" t="str">
        <f>IF(D33="","",VLOOKUP(D33,T_MEDIDAS[],6,FALSE))</f>
        <v>Reorganización de las actividades extraescolares en centros educativos, trasladando a los alumnos a espacios cubiertos o con sombra</v>
      </c>
      <c r="H33" s="25">
        <f>IF(D33="","",VLOOKUP(D33,T_MEDIDAS[],21,FALSE))</f>
        <v>1</v>
      </c>
      <c r="I33" s="25" t="str">
        <f>IF(D33="","",VLOOKUP(D33,T_MEDIDAS[],11,FALSE))</f>
        <v>€</v>
      </c>
      <c r="J33" s="46" t="str">
        <f>IF(D33="","",MID(VLOOKUP(D33,T_MEDIDAS[],20,FALSE),FIND(". ",VLOOKUP(D33,T_MEDIDAS[],20,FALSE))+2,FIND(" (",VLOOKUP(D33,T_MEDIDAS[],20,FALSE))-FIND(".",VLOOKUP(D33,T_MEDIDAS[],20,FALSE))-2))</f>
        <v>Alto</v>
      </c>
      <c r="K33" s="51">
        <f>IF(D33="","",VLOOKUP(D33,T_MEDIDAS[],66,FALSE))</f>
        <v>200.00000089</v>
      </c>
      <c r="L33" s="61"/>
      <c r="M33" s="15" t="s">
        <v>94</v>
      </c>
      <c r="N33" s="52">
        <f>AVERAGEIF(T_MEDIDAS[Ranking],"&gt;0",T_MEDIDAS[C5_Coste])*'2.PONDERACIÓN'!$M$17*100</f>
        <v>31.826241134751772</v>
      </c>
      <c r="O33" s="52">
        <f>AVERAGEIFS(T_MEDIDAS[C5_Coste], T_MEDIDAS[Ranking],"&lt;=20", T_MEDIDAS[Peso Criterios], "&gt;0")*'2.PONDERACIÓN'!$M$17*100</f>
        <v>37.5</v>
      </c>
      <c r="P33" s="52">
        <f>AVERAGEIF(T_MEDIDAS[Ranking], "&gt;="&amp;MAX(T_MEDIDAS[Ranking])-19,T_MEDIDAS[C5_Coste])*'2.PONDERACIÓN'!$M$17*100</f>
        <v>21.25</v>
      </c>
      <c r="Q33" s="28"/>
      <c r="R33" s="61"/>
      <c r="S33" s="55"/>
    </row>
    <row r="34" spans="1:19" ht="50.1" customHeight="1">
      <c r="A34" s="61"/>
      <c r="B34" s="55"/>
      <c r="C34" s="61"/>
      <c r="D34" s="12">
        <f>IF( ISERROR(VLOOKUP(ROW(C34)-9,T_MEDIDAS[],2,FALSE)), "", ROW(C34)-9 )</f>
        <v>25</v>
      </c>
      <c r="E34" s="12" t="str">
        <f>IF(D34="","",VLOOKUP(D34,T_MEDIDAS[],2,FALSE))</f>
        <v>Medida 88</v>
      </c>
      <c r="F34" s="17" t="str">
        <f>IF(D34="","",VLOOKUP(D34,T_MEDIDAS[],3,FALSE))</f>
        <v>Respuesta inmediata</v>
      </c>
      <c r="G34" s="17" t="str">
        <f>IF(D34="","",VLOOKUP(D34,T_MEDIDAS[],6,FALSE))</f>
        <v>Reorganización de actividades dentro del horario lectivo en función de las circunstancias meteorológicas, evitando las tareas de mayor actividad física en las horas más calurosas del día y procurando que se realicen en espacios de sombra</v>
      </c>
      <c r="H34" s="24">
        <f>IF(D34="","",VLOOKUP(D34,T_MEDIDAS[],21,FALSE))</f>
        <v>1</v>
      </c>
      <c r="I34" s="24" t="str">
        <f>IF(D34="","",VLOOKUP(D34,T_MEDIDAS[],11,FALSE))</f>
        <v>€</v>
      </c>
      <c r="J34" s="45" t="str">
        <f>IF(D34="","",MID(VLOOKUP(D34,T_MEDIDAS[],20,FALSE),FIND(". ",VLOOKUP(D34,T_MEDIDAS[],20,FALSE))+2,FIND(" (",VLOOKUP(D34,T_MEDIDAS[],20,FALSE))-FIND(".",VLOOKUP(D34,T_MEDIDAS[],20,FALSE))-2))</f>
        <v>Alto</v>
      </c>
      <c r="K34" s="50">
        <f>IF(D34="","",VLOOKUP(D34,T_MEDIDAS[],66,FALSE))</f>
        <v>200.00000087999999</v>
      </c>
      <c r="L34" s="61"/>
      <c r="M34" s="15" t="s">
        <v>95</v>
      </c>
      <c r="N34" s="52">
        <f>AVERAGEIF(T_MEDIDAS[Ranking],"&gt;0",T_MEDIDAS[C6_Financiación])*'2.PONDERACIÓN'!$M$18*100</f>
        <v>22.606382978723406</v>
      </c>
      <c r="O34" s="52">
        <f>AVERAGEIFS(T_MEDIDAS[C6_Financiación], T_MEDIDAS[Ranking],"&lt;=20", T_MEDIDAS[Peso Criterios], "&gt;0")*'2.PONDERACIÓN'!$M$18*100</f>
        <v>25</v>
      </c>
      <c r="P34" s="52">
        <f>AVERAGEIF(T_MEDIDAS[Ranking], "&gt;="&amp;MAX(T_MEDIDAS[Ranking])-19,T_MEDIDAS[C6_Financiación])*'2.PONDERACIÓN'!M18*100</f>
        <v>15</v>
      </c>
      <c r="Q34" s="28"/>
      <c r="R34" s="61"/>
      <c r="S34" s="55"/>
    </row>
    <row r="35" spans="1:19" ht="50.1" customHeight="1">
      <c r="A35" s="61"/>
      <c r="B35" s="55"/>
      <c r="C35" s="61"/>
      <c r="D35" s="18">
        <f>IF( ISERROR(VLOOKUP(ROW(C35)-9,T_MEDIDAS[],2,FALSE)), "", ROW(C35)-9 )</f>
        <v>26</v>
      </c>
      <c r="E35" s="18" t="str">
        <f>IF(D35="","",VLOOKUP(D35,T_MEDIDAS[],2,FALSE))</f>
        <v>Medida 87</v>
      </c>
      <c r="F35" s="13" t="str">
        <f>IF(D35="","",VLOOKUP(D35,T_MEDIDAS[],3,FALSE))</f>
        <v>Respuesta inmediata</v>
      </c>
      <c r="G35" s="13" t="str">
        <f>IF(D35="","",VLOOKUP(D35,T_MEDIDAS[],6,FALSE))</f>
        <v>Evitar actividades escolares en los espacios más calurosos, trasladando al alumnado a otros espacios o instalaciones del centro docente que resulten más abiertos, frescos y sombreados</v>
      </c>
      <c r="H35" s="25">
        <f>IF(D35="","",VLOOKUP(D35,T_MEDIDAS[],21,FALSE))</f>
        <v>1</v>
      </c>
      <c r="I35" s="25" t="str">
        <f>IF(D35="","",VLOOKUP(D35,T_MEDIDAS[],11,FALSE))</f>
        <v>€</v>
      </c>
      <c r="J35" s="46" t="str">
        <f>IF(D35="","",MID(VLOOKUP(D35,T_MEDIDAS[],20,FALSE),FIND(". ",VLOOKUP(D35,T_MEDIDAS[],20,FALSE))+2,FIND(" (",VLOOKUP(D35,T_MEDIDAS[],20,FALSE))-FIND(".",VLOOKUP(D35,T_MEDIDAS[],20,FALSE))-2))</f>
        <v>Alto</v>
      </c>
      <c r="K35" s="51">
        <f>IF(D35="","",VLOOKUP(D35,T_MEDIDAS[],66,FALSE))</f>
        <v>200.00000086999998</v>
      </c>
      <c r="L35" s="61"/>
      <c r="M35" s="15" t="s">
        <v>96</v>
      </c>
      <c r="N35" s="52">
        <f>AVERAGEIF(T_MEDIDAS[Ranking],"&gt;0",T_MEDIDAS[C7_Viabilidad])*'2.PONDERACIÓN'!$M$19*100</f>
        <v>32.535460992907801</v>
      </c>
      <c r="O35" s="52">
        <f>AVERAGEIFS(T_MEDIDAS[C7_Viabilidad], T_MEDIDAS[Ranking],"&lt;=20", T_MEDIDAS[Peso Criterios], "&gt;0")*'2.PONDERACIÓN'!$M$19*100</f>
        <v>37.5</v>
      </c>
      <c r="P35" s="52">
        <f>AVERAGEIF(T_MEDIDAS[Ranking], "&gt;="&amp;MAX(T_MEDIDAS[Ranking])-19,T_MEDIDAS[C7_Viabilidad])*'2.PONDERACIÓN'!$M$19*100</f>
        <v>21.875</v>
      </c>
      <c r="Q35" s="28"/>
      <c r="R35" s="61"/>
      <c r="S35" s="55"/>
    </row>
    <row r="36" spans="1:19" ht="50.1" customHeight="1">
      <c r="A36" s="61"/>
      <c r="B36" s="55"/>
      <c r="C36" s="61"/>
      <c r="D36" s="12">
        <f>IF( ISERROR(VLOOKUP(ROW(C36)-9,T_MEDIDAS[],2,FALSE)), "", ROW(C36)-9 )</f>
        <v>27</v>
      </c>
      <c r="E36" s="12" t="str">
        <f>IF(D36="","",VLOOKUP(D36,T_MEDIDAS[],2,FALSE))</f>
        <v>Medida 84</v>
      </c>
      <c r="F36" s="17" t="str">
        <f>IF(D36="","",VLOOKUP(D36,T_MEDIDAS[],3,FALSE))</f>
        <v>Respuesta inmediata</v>
      </c>
      <c r="G36" s="17" t="str">
        <f>IF(D36="","",VLOOKUP(D36,T_MEDIDAS[],6,FALSE))</f>
        <v xml:space="preserve">Designación de un observador de los trabajadores mientras trabajan en un entorno de altas temperaturas y bajo la luz solar directa para que busque cualquier síntoma o signo de problemas de salud asociados a las altas temperaturas </v>
      </c>
      <c r="H36" s="24">
        <f>IF(D36="","",VLOOKUP(D36,T_MEDIDAS[],21,FALSE))</f>
        <v>1</v>
      </c>
      <c r="I36" s="24" t="str">
        <f>IF(D36="","",VLOOKUP(D36,T_MEDIDAS[],11,FALSE))</f>
        <v>€</v>
      </c>
      <c r="J36" s="45" t="str">
        <f>IF(D36="","",MID(VLOOKUP(D36,T_MEDIDAS[],20,FALSE),FIND(". ",VLOOKUP(D36,T_MEDIDAS[],20,FALSE))+2,FIND(" (",VLOOKUP(D36,T_MEDIDAS[],20,FALSE))-FIND(".",VLOOKUP(D36,T_MEDIDAS[],20,FALSE))-2))</f>
        <v>Alto</v>
      </c>
      <c r="K36" s="50">
        <f>IF(D36="","",VLOOKUP(D36,T_MEDIDAS[],66,FALSE))</f>
        <v>200.00000083999998</v>
      </c>
      <c r="L36" s="61"/>
      <c r="M36" s="15" t="s">
        <v>97</v>
      </c>
      <c r="N36" s="52">
        <f>AVERAGEIF(T_MEDIDAS[Ranking],"&gt;0",T_MEDIDAS[C8_Tiempo])*'2.PONDERACIÓN'!$M$20*100</f>
        <v>33.156028368794324</v>
      </c>
      <c r="O36" s="52">
        <f>AVERAGEIFS(T_MEDIDAS[C8_Tiempo], T_MEDIDAS[Ranking],"&lt;=20", T_MEDIDAS[Peso Criterios], "&gt;0")*'2.PONDERACIÓN'!$M$20*100</f>
        <v>37.5</v>
      </c>
      <c r="P36" s="52">
        <f>AVERAGEIF(T_MEDIDAS[Ranking], "&gt;="&amp;MAX(T_MEDIDAS[Ranking])-19,T_MEDIDAS[C8_Tiempo])*'2.PONDERACIÓN'!$M$19*100</f>
        <v>23.125</v>
      </c>
      <c r="Q36" s="28"/>
      <c r="R36" s="61"/>
      <c r="S36" s="55"/>
    </row>
    <row r="37" spans="1:19" ht="50.1" customHeight="1">
      <c r="A37" s="61"/>
      <c r="B37" s="55"/>
      <c r="C37" s="61"/>
      <c r="D37" s="18">
        <f>IF( ISERROR(VLOOKUP(ROW(C37)-9,T_MEDIDAS[],2,FALSE)), "", ROW(C37)-9 )</f>
        <v>28</v>
      </c>
      <c r="E37" s="18" t="str">
        <f>IF(D37="","",VLOOKUP(D37,T_MEDIDAS[],2,FALSE))</f>
        <v>Medida 83</v>
      </c>
      <c r="F37" s="13" t="str">
        <f>IF(D37="","",VLOOKUP(D37,T_MEDIDAS[],3,FALSE))</f>
        <v>Respuesta inmediata</v>
      </c>
      <c r="G37" s="13" t="str">
        <f>IF(D37="","",VLOOKUP(D37,T_MEDIDAS[],6,FALSE))</f>
        <v>Actuaciones de verificación sobre equipos y condiciones de trabajo al aire libre: los trabajadores municipales disponen de equipo de protección solar necesario (cubrecabezas, gafas de seguridad para los ojos y ropa de colores claros)</v>
      </c>
      <c r="H37" s="25">
        <f>IF(D37="","",VLOOKUP(D37,T_MEDIDAS[],21,FALSE))</f>
        <v>1</v>
      </c>
      <c r="I37" s="25" t="str">
        <f>IF(D37="","",VLOOKUP(D37,T_MEDIDAS[],11,FALSE))</f>
        <v>€</v>
      </c>
      <c r="J37" s="46" t="str">
        <f>IF(D37="","",MID(VLOOKUP(D37,T_MEDIDAS[],20,FALSE),FIND(". ",VLOOKUP(D37,T_MEDIDAS[],20,FALSE))+2,FIND(" (",VLOOKUP(D37,T_MEDIDAS[],20,FALSE))-FIND(".",VLOOKUP(D37,T_MEDIDAS[],20,FALSE))-2))</f>
        <v>Alto</v>
      </c>
      <c r="K37" s="51">
        <f>IF(D37="","",VLOOKUP(D37,T_MEDIDAS[],66,FALSE))</f>
        <v>200.00000082999998</v>
      </c>
      <c r="L37" s="61"/>
      <c r="M37" s="96" t="s">
        <v>98</v>
      </c>
      <c r="N37" s="97">
        <f>SUM(N29:N36)</f>
        <v>179.07801418439718</v>
      </c>
      <c r="O37" s="97">
        <f>SUM(O29:O36)</f>
        <v>205.625</v>
      </c>
      <c r="P37" s="97">
        <f>SUM(P29:P36)</f>
        <v>131.25</v>
      </c>
      <c r="Q37" s="95"/>
      <c r="R37" s="61"/>
      <c r="S37" s="55"/>
    </row>
    <row r="38" spans="1:19" ht="50.1" customHeight="1">
      <c r="A38" s="61"/>
      <c r="B38" s="55"/>
      <c r="C38" s="61"/>
      <c r="D38" s="12">
        <f>IF( ISERROR(VLOOKUP(ROW(C38)-9,T_MEDIDAS[],2,FALSE)), "", ROW(C38)-9 )</f>
        <v>29</v>
      </c>
      <c r="E38" s="12" t="str">
        <f>IF(D38="","",VLOOKUP(D38,T_MEDIDAS[],2,FALSE))</f>
        <v>Medida 81</v>
      </c>
      <c r="F38" s="17" t="str">
        <f>IF(D38="","",VLOOKUP(D38,T_MEDIDAS[],3,FALSE))</f>
        <v>Respuesta inmediata</v>
      </c>
      <c r="G38" s="17" t="str">
        <f>IF(D38="","",VLOOKUP(D38,T_MEDIDAS[],6,FALSE))</f>
        <v xml:space="preserve">Comunicación y colaboración con los centros escolares para la flexibilización del horario del alumnado, con la finalidad de adaptarse a las circunstancias de altas temperaturas excepcionales </v>
      </c>
      <c r="H38" s="24">
        <f>IF(D38="","",VLOOKUP(D38,T_MEDIDAS[],21,FALSE))</f>
        <v>1</v>
      </c>
      <c r="I38" s="24" t="str">
        <f>IF(D38="","",VLOOKUP(D38,T_MEDIDAS[],11,FALSE))</f>
        <v>€</v>
      </c>
      <c r="J38" s="45" t="str">
        <f>IF(D38="","",MID(VLOOKUP(D38,T_MEDIDAS[],20,FALSE),FIND(". ",VLOOKUP(D38,T_MEDIDAS[],20,FALSE))+2,FIND(" (",VLOOKUP(D38,T_MEDIDAS[],20,FALSE))-FIND(".",VLOOKUP(D38,T_MEDIDAS[],20,FALSE))-2))</f>
        <v>Alto</v>
      </c>
      <c r="K38" s="50">
        <f>IF(D38="","",VLOOKUP(D38,T_MEDIDAS[],66,FALSE))</f>
        <v>200.00000080999999</v>
      </c>
      <c r="L38" s="61"/>
      <c r="M38" s="61"/>
      <c r="N38" s="61"/>
      <c r="O38" s="61"/>
      <c r="P38" s="61"/>
      <c r="Q38" s="61"/>
      <c r="R38" s="61"/>
      <c r="S38" s="55"/>
    </row>
    <row r="39" spans="1:19" ht="50.1" customHeight="1">
      <c r="A39" s="61"/>
      <c r="B39" s="55"/>
      <c r="C39" s="61"/>
      <c r="D39" s="18">
        <f>IF( ISERROR(VLOOKUP(ROW(C39)-9,T_MEDIDAS[],2,FALSE)), "", ROW(C39)-9 )</f>
        <v>30</v>
      </c>
      <c r="E39" s="18" t="str">
        <f>IF(D39="","",VLOOKUP(D39,T_MEDIDAS[],2,FALSE))</f>
        <v>Medida 78</v>
      </c>
      <c r="F39" s="13" t="str">
        <f>IF(D39="","",VLOOKUP(D39,T_MEDIDAS[],3,FALSE))</f>
        <v>Respuesta inmediata</v>
      </c>
      <c r="G39" s="13" t="str">
        <f>IF(D39="","",VLOOKUP(D39,T_MEDIDAS[],6,FALSE))</f>
        <v>Promoción de la vigilancia recíproca entre personas trabajadoras expuestas durante jornadas de trabajo al exterior en épocas de temperaturas extremas</v>
      </c>
      <c r="H39" s="25">
        <f>IF(D39="","",VLOOKUP(D39,T_MEDIDAS[],21,FALSE))</f>
        <v>1</v>
      </c>
      <c r="I39" s="25" t="str">
        <f>IF(D39="","",VLOOKUP(D39,T_MEDIDAS[],11,FALSE))</f>
        <v>€</v>
      </c>
      <c r="J39" s="46" t="str">
        <f>IF(D39="","",MID(VLOOKUP(D39,T_MEDIDAS[],20,FALSE),FIND(". ",VLOOKUP(D39,T_MEDIDAS[],20,FALSE))+2,FIND(" (",VLOOKUP(D39,T_MEDIDAS[],20,FALSE))-FIND(".",VLOOKUP(D39,T_MEDIDAS[],20,FALSE))-2))</f>
        <v>Alto</v>
      </c>
      <c r="K39" s="51">
        <f>IF(D39="","",VLOOKUP(D39,T_MEDIDAS[],66,FALSE))</f>
        <v>200.00000078000002</v>
      </c>
      <c r="L39" s="61"/>
      <c r="M39" s="61"/>
      <c r="N39" s="61"/>
      <c r="O39" s="61"/>
      <c r="P39" s="61"/>
      <c r="Q39" s="61"/>
      <c r="R39" s="61"/>
      <c r="S39" s="55"/>
    </row>
    <row r="40" spans="1:19" ht="50.1" customHeight="1">
      <c r="A40" s="61"/>
      <c r="B40" s="55"/>
      <c r="C40" s="61"/>
      <c r="D40" s="12">
        <f>IF( ISERROR(VLOOKUP(ROW(C40)-9,T_MEDIDAS[],2,FALSE)), "", ROW(C40)-9 )</f>
        <v>31</v>
      </c>
      <c r="E40" s="12" t="str">
        <f>IF(D40="","",VLOOKUP(D40,T_MEDIDAS[],2,FALSE))</f>
        <v>Medida 74</v>
      </c>
      <c r="F40" s="17" t="str">
        <f>IF(D40="","",VLOOKUP(D40,T_MEDIDAS[],3,FALSE))</f>
        <v>Respuesta inmediata</v>
      </c>
      <c r="G40" s="17" t="str">
        <f>IF(D40="","",VLOOKUP(D40,T_MEDIDAS[],6,FALSE))</f>
        <v xml:space="preserve">Distribución del volumen de trabajo en las horas de menor calor (primera hora de la mañana, última hora de la tarde) para los equipos de turnos durante alertas extremas </v>
      </c>
      <c r="H40" s="24">
        <f>IF(D40="","",VLOOKUP(D40,T_MEDIDAS[],21,FALSE))</f>
        <v>1</v>
      </c>
      <c r="I40" s="24" t="str">
        <f>IF(D40="","",VLOOKUP(D40,T_MEDIDAS[],11,FALSE))</f>
        <v>€</v>
      </c>
      <c r="J40" s="45" t="str">
        <f>IF(D40="","",MID(VLOOKUP(D40,T_MEDIDAS[],20,FALSE),FIND(". ",VLOOKUP(D40,T_MEDIDAS[],20,FALSE))+2,FIND(" (",VLOOKUP(D40,T_MEDIDAS[],20,FALSE))-FIND(".",VLOOKUP(D40,T_MEDIDAS[],20,FALSE))-2))</f>
        <v>Alto</v>
      </c>
      <c r="K40" s="50">
        <f>IF(D40="","",VLOOKUP(D40,T_MEDIDAS[],66,FALSE))</f>
        <v>200.00000074000002</v>
      </c>
      <c r="L40" s="61"/>
      <c r="M40" s="61"/>
      <c r="N40" s="61"/>
      <c r="O40" s="61"/>
      <c r="P40" s="61"/>
      <c r="Q40" s="61"/>
      <c r="R40" s="61"/>
      <c r="S40" s="55"/>
    </row>
    <row r="41" spans="1:19" ht="50.1" customHeight="1">
      <c r="A41" s="61"/>
      <c r="B41" s="55"/>
      <c r="C41" s="61"/>
      <c r="D41" s="18">
        <f>IF( ISERROR(VLOOKUP(ROW(C41)-9,T_MEDIDAS[],2,FALSE)), "", ROW(C41)-9 )</f>
        <v>32</v>
      </c>
      <c r="E41" s="18" t="str">
        <f>IF(D41="","",VLOOKUP(D41,T_MEDIDAS[],2,FALSE))</f>
        <v>Medida 73</v>
      </c>
      <c r="F41" s="13" t="str">
        <f>IF(D41="","",VLOOKUP(D41,T_MEDIDAS[],3,FALSE))</f>
        <v>Respuesta inmediata</v>
      </c>
      <c r="G41" s="13" t="str">
        <f>IF(D41="","",VLOOKUP(D41,T_MEDIDAS[],6,FALSE))</f>
        <v xml:space="preserve">Minimización del tiempo de permanencia en el exterior de personas responsables de trabajos al aire libre durante las situaciones de alerta por temperatura </v>
      </c>
      <c r="H41" s="25">
        <f>IF(D41="","",VLOOKUP(D41,T_MEDIDAS[],21,FALSE))</f>
        <v>1</v>
      </c>
      <c r="I41" s="25" t="str">
        <f>IF(D41="","",VLOOKUP(D41,T_MEDIDAS[],11,FALSE))</f>
        <v>€</v>
      </c>
      <c r="J41" s="46" t="str">
        <f>IF(D41="","",MID(VLOOKUP(D41,T_MEDIDAS[],20,FALSE),FIND(". ",VLOOKUP(D41,T_MEDIDAS[],20,FALSE))+2,FIND(" (",VLOOKUP(D41,T_MEDIDAS[],20,FALSE))-FIND(".",VLOOKUP(D41,T_MEDIDAS[],20,FALSE))-2))</f>
        <v>Alto</v>
      </c>
      <c r="K41" s="51">
        <f>IF(D41="","",VLOOKUP(D41,T_MEDIDAS[],66,FALSE))</f>
        <v>200.00000073000001</v>
      </c>
      <c r="L41" s="61"/>
      <c r="M41" s="61"/>
      <c r="N41" s="61"/>
      <c r="O41" s="61"/>
      <c r="P41" s="61"/>
      <c r="Q41" s="61"/>
      <c r="R41" s="61"/>
      <c r="S41" s="55"/>
    </row>
    <row r="42" spans="1:19" ht="50.1" customHeight="1">
      <c r="A42" s="61"/>
      <c r="B42" s="55"/>
      <c r="C42" s="61"/>
      <c r="D42" s="12">
        <f>IF( ISERROR(VLOOKUP(ROW(C42)-9,T_MEDIDAS[],2,FALSE)), "", ROW(C42)-9 )</f>
        <v>33</v>
      </c>
      <c r="E42" s="12" t="str">
        <f>IF(D42="","",VLOOKUP(D42,T_MEDIDAS[],2,FALSE))</f>
        <v>Medida 72</v>
      </c>
      <c r="F42" s="17" t="str">
        <f>IF(D42="","",VLOOKUP(D42,T_MEDIDAS[],3,FALSE))</f>
        <v>Respuesta inmediata</v>
      </c>
      <c r="G42" s="17" t="str">
        <f>IF(D42="","",VLOOKUP(D42,T_MEDIDAS[],6,FALSE))</f>
        <v>Prohibición del desarrollo de determinadas tareas físicas en el puesto de trabajo durante las horas del día en las que concurran fenómenos meteorológicos adversos y no pueda garantizarse de otro modo la debida protección de la persona trabajadora.</v>
      </c>
      <c r="H42" s="24">
        <f>IF(D42="","",VLOOKUP(D42,T_MEDIDAS[],21,FALSE))</f>
        <v>1</v>
      </c>
      <c r="I42" s="24" t="str">
        <f>IF(D42="","",VLOOKUP(D42,T_MEDIDAS[],11,FALSE))</f>
        <v>€</v>
      </c>
      <c r="J42" s="45" t="str">
        <f>IF(D42="","",MID(VLOOKUP(D42,T_MEDIDAS[],20,FALSE),FIND(". ",VLOOKUP(D42,T_MEDIDAS[],20,FALSE))+2,FIND(" (",VLOOKUP(D42,T_MEDIDAS[],20,FALSE))-FIND(".",VLOOKUP(D42,T_MEDIDAS[],20,FALSE))-2))</f>
        <v>Alto</v>
      </c>
      <c r="K42" s="50">
        <f>IF(D42="","",VLOOKUP(D42,T_MEDIDAS[],66,FALSE))</f>
        <v>200.00000072</v>
      </c>
      <c r="L42" s="61"/>
      <c r="M42" s="61"/>
      <c r="N42" s="61"/>
      <c r="O42" s="61"/>
      <c r="P42" s="61"/>
      <c r="Q42" s="61"/>
      <c r="R42" s="61"/>
      <c r="S42" s="55"/>
    </row>
    <row r="43" spans="1:19" ht="50.1" customHeight="1">
      <c r="A43" s="61"/>
      <c r="B43" s="55"/>
      <c r="C43" s="61"/>
      <c r="D43" s="18">
        <f>IF( ISERROR(VLOOKUP(ROW(C43)-9,T_MEDIDAS[],2,FALSE)), "", ROW(C43)-9 )</f>
        <v>34</v>
      </c>
      <c r="E43" s="18" t="str">
        <f>IF(D43="","",VLOOKUP(D43,T_MEDIDAS[],2,FALSE))</f>
        <v>Medida 70</v>
      </c>
      <c r="F43" s="13" t="str">
        <f>IF(D43="","",VLOOKUP(D43,T_MEDIDAS[],3,FALSE))</f>
        <v>Respuesta inmediata</v>
      </c>
      <c r="G43" s="13" t="str">
        <f>IF(D43="","",VLOOKUP(D43,T_MEDIDAS[],6,FALSE))</f>
        <v>Asistencia telefónica gratuita para proporcionar información sobre alertas de calor (nivel de riesgo, recomendaciones, recursos disponibles…) a la ciudadanía interesada.</v>
      </c>
      <c r="H43" s="25">
        <f>IF(D43="","",VLOOKUP(D43,T_MEDIDAS[],21,FALSE))</f>
        <v>1</v>
      </c>
      <c r="I43" s="25" t="str">
        <f>IF(D43="","",VLOOKUP(D43,T_MEDIDAS[],11,FALSE))</f>
        <v>€</v>
      </c>
      <c r="J43" s="46" t="str">
        <f>IF(D43="","",MID(VLOOKUP(D43,T_MEDIDAS[],20,FALSE),FIND(". ",VLOOKUP(D43,T_MEDIDAS[],20,FALSE))+2,FIND(" (",VLOOKUP(D43,T_MEDIDAS[],20,FALSE))-FIND(".",VLOOKUP(D43,T_MEDIDAS[],20,FALSE))-2))</f>
        <v>Alto</v>
      </c>
      <c r="K43" s="51">
        <f>IF(D43="","",VLOOKUP(D43,T_MEDIDAS[],66,FALSE))</f>
        <v>200.00000070000002</v>
      </c>
      <c r="L43" s="61"/>
      <c r="M43" s="61"/>
      <c r="N43" s="61"/>
      <c r="O43" s="61"/>
      <c r="P43" s="61"/>
      <c r="Q43" s="61"/>
      <c r="R43" s="61"/>
      <c r="S43" s="55"/>
    </row>
    <row r="44" spans="1:19" ht="50.1" customHeight="1">
      <c r="A44" s="61"/>
      <c r="B44" s="55"/>
      <c r="C44" s="61"/>
      <c r="D44" s="12">
        <f>IF( ISERROR(VLOOKUP(ROW(C44)-9,T_MEDIDAS[],2,FALSE)), "", ROW(C44)-9 )</f>
        <v>35</v>
      </c>
      <c r="E44" s="12" t="str">
        <f>IF(D44="","",VLOOKUP(D44,T_MEDIDAS[],2,FALSE))</f>
        <v>Medida 61</v>
      </c>
      <c r="F44" s="17" t="str">
        <f>IF(D44="","",VLOOKUP(D44,T_MEDIDAS[],3,FALSE))</f>
        <v>Respuesta inmediata</v>
      </c>
      <c r="G44" s="17" t="str">
        <f>IF(D44="","",VLOOKUP(D44,T_MEDIDAS[],6,FALSE))</f>
        <v>Instalación de ventilación adicional en edificios públicos y centros sociosanitarios y educativos para garantizar el confort climático durante olas de calor</v>
      </c>
      <c r="H44" s="24">
        <f>IF(D44="","",VLOOKUP(D44,T_MEDIDAS[],21,FALSE))</f>
        <v>3</v>
      </c>
      <c r="I44" s="24" t="str">
        <f>IF(D44="","",VLOOKUP(D44,T_MEDIDAS[],11,FALSE))</f>
        <v>€€</v>
      </c>
      <c r="J44" s="45" t="str">
        <f>IF(D44="","",MID(VLOOKUP(D44,T_MEDIDAS[],20,FALSE),FIND(". ",VLOOKUP(D44,T_MEDIDAS[],20,FALSE))+2,FIND(" (",VLOOKUP(D44,T_MEDIDAS[],20,FALSE))-FIND(".",VLOOKUP(D44,T_MEDIDAS[],20,FALSE))-2))</f>
        <v>Alto</v>
      </c>
      <c r="K44" s="50">
        <f>IF(D44="","",VLOOKUP(D44,T_MEDIDAS[],66,FALSE))</f>
        <v>200.00000061</v>
      </c>
      <c r="L44" s="61"/>
      <c r="M44" s="61"/>
      <c r="N44" s="61"/>
      <c r="O44" s="61"/>
      <c r="P44" s="61"/>
      <c r="Q44" s="61"/>
      <c r="R44" s="61"/>
      <c r="S44" s="55"/>
    </row>
    <row r="45" spans="1:19" ht="50.1" customHeight="1">
      <c r="A45" s="61"/>
      <c r="B45" s="55"/>
      <c r="C45" s="61"/>
      <c r="D45" s="18">
        <f>IF( ISERROR(VLOOKUP(ROW(C45)-9,T_MEDIDAS[],2,FALSE)), "", ROW(C45)-9 )</f>
        <v>36</v>
      </c>
      <c r="E45" s="18" t="str">
        <f>IF(D45="","",VLOOKUP(D45,T_MEDIDAS[],2,FALSE))</f>
        <v>Medida 60</v>
      </c>
      <c r="F45" s="13" t="str">
        <f>IF(D45="","",VLOOKUP(D45,T_MEDIDAS[],3,FALSE))</f>
        <v>Respuesta inmediata</v>
      </c>
      <c r="G45" s="13" t="str">
        <f>IF(D45="","",VLOOKUP(D45,T_MEDIDAS[],6,FALSE))</f>
        <v>Comunicación con responsables de centros sociosanitarios para la identificación de personas de alto riesgo, definición de pautas de prevención e hidratación oportunas, así como protocolos de vigilancia del estado de salud y cuidados.</v>
      </c>
      <c r="H45" s="25">
        <f>IF(D45="","",VLOOKUP(D45,T_MEDIDAS[],21,FALSE))</f>
        <v>1</v>
      </c>
      <c r="I45" s="25" t="str">
        <f>IF(D45="","",VLOOKUP(D45,T_MEDIDAS[],11,FALSE))</f>
        <v>€</v>
      </c>
      <c r="J45" s="46" t="str">
        <f>IF(D45="","",MID(VLOOKUP(D45,T_MEDIDAS[],20,FALSE),FIND(". ",VLOOKUP(D45,T_MEDIDAS[],20,FALSE))+2,FIND(" (",VLOOKUP(D45,T_MEDIDAS[],20,FALSE))-FIND(".",VLOOKUP(D45,T_MEDIDAS[],20,FALSE))-2))</f>
        <v>Alto</v>
      </c>
      <c r="K45" s="51">
        <f>IF(D45="","",VLOOKUP(D45,T_MEDIDAS[],66,FALSE))</f>
        <v>200.00000059999999</v>
      </c>
      <c r="L45" s="61"/>
      <c r="M45" s="61"/>
      <c r="N45" s="61"/>
      <c r="O45" s="61"/>
      <c r="P45" s="61"/>
      <c r="Q45" s="61"/>
      <c r="R45" s="61"/>
      <c r="S45" s="55"/>
    </row>
    <row r="46" spans="1:19" ht="50.1" customHeight="1">
      <c r="A46" s="61"/>
      <c r="B46" s="55"/>
      <c r="C46" s="61"/>
      <c r="D46" s="12">
        <f>IF( ISERROR(VLOOKUP(ROW(C46)-9,T_MEDIDAS[],2,FALSE)), "", ROW(C46)-9 )</f>
        <v>37</v>
      </c>
      <c r="E46" s="12" t="str">
        <f>IF(D46="","",VLOOKUP(D46,T_MEDIDAS[],2,FALSE))</f>
        <v>Medida 59</v>
      </c>
      <c r="F46" s="17" t="str">
        <f>IF(D46="","",VLOOKUP(D46,T_MEDIDAS[],3,FALSE))</f>
        <v>Respuesta inmediata</v>
      </c>
      <c r="G46" s="17" t="str">
        <f>IF(D46="","",VLOOKUP(D46,T_MEDIDAS[],6,FALSE))</f>
        <v>Aprobación de normativa para la flexibilización del horario laboral de obras emprendidas o adjudicadas por el consistorio durante olas de calor y situaciones de calor extremo</v>
      </c>
      <c r="H46" s="24">
        <f>IF(D46="","",VLOOKUP(D46,T_MEDIDAS[],21,FALSE))</f>
        <v>1</v>
      </c>
      <c r="I46" s="24" t="str">
        <f>IF(D46="","",VLOOKUP(D46,T_MEDIDAS[],11,FALSE))</f>
        <v>€</v>
      </c>
      <c r="J46" s="45" t="str">
        <f>IF(D46="","",MID(VLOOKUP(D46,T_MEDIDAS[],20,FALSE),FIND(". ",VLOOKUP(D46,T_MEDIDAS[],20,FALSE))+2,FIND(" (",VLOOKUP(D46,T_MEDIDAS[],20,FALSE))-FIND(".",VLOOKUP(D46,T_MEDIDAS[],20,FALSE))-2))</f>
        <v>Alto</v>
      </c>
      <c r="K46" s="50">
        <f>IF(D46="","",VLOOKUP(D46,T_MEDIDAS[],66,FALSE))</f>
        <v>200.00000059000001</v>
      </c>
      <c r="L46" s="61"/>
      <c r="M46" s="61"/>
      <c r="N46" s="61"/>
      <c r="O46" s="61"/>
      <c r="P46" s="61"/>
      <c r="Q46" s="61"/>
      <c r="R46" s="61"/>
      <c r="S46" s="55"/>
    </row>
    <row r="47" spans="1:19" ht="50.1" customHeight="1">
      <c r="A47" s="61"/>
      <c r="B47" s="55"/>
      <c r="C47" s="61"/>
      <c r="D47" s="18">
        <f>IF( ISERROR(VLOOKUP(ROW(C47)-9,T_MEDIDAS[],2,FALSE)), "", ROW(C47)-9 )</f>
        <v>38</v>
      </c>
      <c r="E47" s="18" t="str">
        <f>IF(D47="","",VLOOKUP(D47,T_MEDIDAS[],2,FALSE))</f>
        <v>Medida 58</v>
      </c>
      <c r="F47" s="13" t="str">
        <f>IF(D47="","",VLOOKUP(D47,T_MEDIDAS[],3,FALSE))</f>
        <v>Respuesta inmediata</v>
      </c>
      <c r="G47" s="13" t="str">
        <f>IF(D47="","",VLOOKUP(D47,T_MEDIDAS[],6,FALSE))</f>
        <v>Instalación de fuentes nebulizadoras, dispositivos de nebulización y zonas de sombra adicionales en verano, especialmente en los puntos más vulnerables a las olas de calor.</v>
      </c>
      <c r="H47" s="25">
        <f>IF(D47="","",VLOOKUP(D47,T_MEDIDAS[],21,FALSE))</f>
        <v>1</v>
      </c>
      <c r="I47" s="25" t="str">
        <f>IF(D47="","",VLOOKUP(D47,T_MEDIDAS[],11,FALSE))</f>
        <v>€€</v>
      </c>
      <c r="J47" s="46" t="str">
        <f>IF(D47="","",MID(VLOOKUP(D47,T_MEDIDAS[],20,FALSE),FIND(". ",VLOOKUP(D47,T_MEDIDAS[],20,FALSE))+2,FIND(" (",VLOOKUP(D47,T_MEDIDAS[],20,FALSE))-FIND(".",VLOOKUP(D47,T_MEDIDAS[],20,FALSE))-2))</f>
        <v>Alto</v>
      </c>
      <c r="K47" s="51">
        <f>IF(D47="","",VLOOKUP(D47,T_MEDIDAS[],66,FALSE))</f>
        <v>200.00000058000001</v>
      </c>
      <c r="L47" s="61"/>
      <c r="M47" s="61"/>
      <c r="N47" s="61"/>
      <c r="O47" s="61"/>
      <c r="P47" s="61"/>
      <c r="Q47" s="61"/>
      <c r="R47" s="61"/>
      <c r="S47" s="55"/>
    </row>
    <row r="48" spans="1:19" ht="50.1" customHeight="1">
      <c r="A48" s="61"/>
      <c r="B48" s="55"/>
      <c r="C48" s="61"/>
      <c r="D48" s="12">
        <f>IF( ISERROR(VLOOKUP(ROW(C48)-9,T_MEDIDAS[],2,FALSE)), "", ROW(C48)-9 )</f>
        <v>39</v>
      </c>
      <c r="E48" s="12" t="str">
        <f>IF(D48="","",VLOOKUP(D48,T_MEDIDAS[],2,FALSE))</f>
        <v>Medida 49</v>
      </c>
      <c r="F48" s="17" t="str">
        <f>IF(D48="","",VLOOKUP(D48,T_MEDIDAS[],3,FALSE))</f>
        <v>Prevención</v>
      </c>
      <c r="G48" s="17" t="str">
        <f>IF(D48="","",VLOOKUP(D48,T_MEDIDAS[],6,FALSE))</f>
        <v>Adecuación de refugios climáticos en lugares prioritarios (zonas con mayor efecto isla de calor, zonas con concentración de población vulnerable…)</v>
      </c>
      <c r="H48" s="24">
        <f>IF(D48="","",VLOOKUP(D48,T_MEDIDAS[],21,FALSE))</f>
        <v>3</v>
      </c>
      <c r="I48" s="24" t="str">
        <f>IF(D48="","",VLOOKUP(D48,T_MEDIDAS[],11,FALSE))</f>
        <v>€€</v>
      </c>
      <c r="J48" s="45" t="str">
        <f>IF(D48="","",MID(VLOOKUP(D48,T_MEDIDAS[],20,FALSE),FIND(". ",VLOOKUP(D48,T_MEDIDAS[],20,FALSE))+2,FIND(" (",VLOOKUP(D48,T_MEDIDAS[],20,FALSE))-FIND(".",VLOOKUP(D48,T_MEDIDAS[],20,FALSE))-2))</f>
        <v>Bajo</v>
      </c>
      <c r="K48" s="50">
        <f>IF(D48="","",VLOOKUP(D48,T_MEDIDAS[],66,FALSE))</f>
        <v>200.00000048999999</v>
      </c>
      <c r="L48" s="61"/>
      <c r="M48" s="61"/>
      <c r="N48" s="61"/>
      <c r="O48" s="61"/>
      <c r="P48" s="61"/>
      <c r="Q48" s="61"/>
      <c r="R48" s="61"/>
      <c r="S48" s="55"/>
    </row>
    <row r="49" spans="1:19" ht="50.1" customHeight="1">
      <c r="A49" s="61"/>
      <c r="B49" s="55"/>
      <c r="C49" s="61"/>
      <c r="D49" s="18">
        <f>IF( ISERROR(VLOOKUP(ROW(C49)-9,T_MEDIDAS[],2,FALSE)), "", ROW(C49)-9 )</f>
        <v>40</v>
      </c>
      <c r="E49" s="18" t="str">
        <f>IF(D49="","",VLOOKUP(D49,T_MEDIDAS[],2,FALSE))</f>
        <v>Medida 48</v>
      </c>
      <c r="F49" s="13" t="str">
        <f>IF(D49="","",VLOOKUP(D49,T_MEDIDAS[],3,FALSE))</f>
        <v>Prevención</v>
      </c>
      <c r="G49" s="13" t="str">
        <f>IF(D49="","",VLOOKUP(D49,T_MEDIDAS[],6,FALSE))</f>
        <v>Actualización de los censos de grupos sociales más vulnerables a las elevadas temperaturas extremas ante la activación de alertas de riesgo</v>
      </c>
      <c r="H49" s="25">
        <f>IF(D49="","",VLOOKUP(D49,T_MEDIDAS[],21,FALSE))</f>
        <v>1</v>
      </c>
      <c r="I49" s="25" t="str">
        <f>IF(D49="","",VLOOKUP(D49,T_MEDIDAS[],11,FALSE))</f>
        <v>€</v>
      </c>
      <c r="J49" s="46" t="str">
        <f>IF(D49="","",MID(VLOOKUP(D49,T_MEDIDAS[],20,FALSE),FIND(". ",VLOOKUP(D49,T_MEDIDAS[],20,FALSE))+2,FIND(" (",VLOOKUP(D49,T_MEDIDAS[],20,FALSE))-FIND(".",VLOOKUP(D49,T_MEDIDAS[],20,FALSE))-2))</f>
        <v>Bajo</v>
      </c>
      <c r="K49" s="51">
        <f>IF(D49="","",VLOOKUP(D49,T_MEDIDAS[],66,FALSE))</f>
        <v>200.00000047999998</v>
      </c>
      <c r="L49" s="61"/>
      <c r="M49" s="61"/>
      <c r="N49" s="61"/>
      <c r="O49" s="61"/>
      <c r="P49" s="61"/>
      <c r="Q49" s="61"/>
      <c r="R49" s="61"/>
      <c r="S49" s="55"/>
    </row>
    <row r="50" spans="1:19" ht="50.1" customHeight="1">
      <c r="A50" s="61"/>
      <c r="B50" s="55"/>
      <c r="C50" s="61"/>
      <c r="D50" s="12">
        <f>IF( ISERROR(VLOOKUP(ROW(C50)-9,T_MEDIDAS[],2,FALSE)), "", ROW(C50)-9 )</f>
        <v>41</v>
      </c>
      <c r="E50" s="12" t="str">
        <f>IF(D50="","",VLOOKUP(D50,T_MEDIDAS[],2,FALSE))</f>
        <v>Medida 29</v>
      </c>
      <c r="F50" s="17" t="str">
        <f>IF(D50="","",VLOOKUP(D50,T_MEDIDAS[],3,FALSE))</f>
        <v>Prevención</v>
      </c>
      <c r="G50" s="17" t="str">
        <f>IF(D50="","",VLOOKUP(D50,T_MEDIDAS[],6,FALSE))</f>
        <v>Identificación y designación de personas responsables de la activación del protocolo de actuación en centros escolares ante olas de calor, así como planificación de medidas concretas en caso de activación.</v>
      </c>
      <c r="H50" s="24">
        <f>IF(D50="","",VLOOKUP(D50,T_MEDIDAS[],21,FALSE))</f>
        <v>1</v>
      </c>
      <c r="I50" s="24" t="str">
        <f>IF(D50="","",VLOOKUP(D50,T_MEDIDAS[],11,FALSE))</f>
        <v>€</v>
      </c>
      <c r="J50" s="45" t="str">
        <f>IF(D50="","",MID(VLOOKUP(D50,T_MEDIDAS[],20,FALSE),FIND(". ",VLOOKUP(D50,T_MEDIDAS[],20,FALSE))+2,FIND(" (",VLOOKUP(D50,T_MEDIDAS[],20,FALSE))-FIND(".",VLOOKUP(D50,T_MEDIDAS[],20,FALSE))-2))</f>
        <v>Sin Riesgo</v>
      </c>
      <c r="K50" s="50">
        <f>IF(D50="","",VLOOKUP(D50,T_MEDIDAS[],66,FALSE))</f>
        <v>200.00000028999997</v>
      </c>
      <c r="L50" s="61"/>
      <c r="M50" s="61"/>
      <c r="N50" s="61"/>
      <c r="O50" s="61"/>
      <c r="P50" s="61"/>
      <c r="Q50" s="61"/>
      <c r="R50" s="61"/>
      <c r="S50" s="55"/>
    </row>
    <row r="51" spans="1:19" ht="50.1" customHeight="1">
      <c r="A51" s="61"/>
      <c r="B51" s="55"/>
      <c r="C51" s="61"/>
      <c r="D51" s="18">
        <f>IF( ISERROR(VLOOKUP(ROW(C51)-9,T_MEDIDAS[],2,FALSE)), "", ROW(C51)-9 )</f>
        <v>42</v>
      </c>
      <c r="E51" s="18" t="str">
        <f>IF(D51="","",VLOOKUP(D51,T_MEDIDAS[],2,FALSE))</f>
        <v>Medida 28</v>
      </c>
      <c r="F51" s="13" t="str">
        <f>IF(D51="","",VLOOKUP(D51,T_MEDIDAS[],3,FALSE))</f>
        <v>Prevención</v>
      </c>
      <c r="G51" s="13" t="str">
        <f>IF(D51="","",VLOOKUP(D51,T_MEDIDAS[],6,FALSE))</f>
        <v>Recomendación a los centros educativos de disponer de información sobre las patologías del alumnado que los haga vulnerables a las elevadas temperaturas.</v>
      </c>
      <c r="H51" s="25">
        <f>IF(D51="","",VLOOKUP(D51,T_MEDIDAS[],21,FALSE))</f>
        <v>1</v>
      </c>
      <c r="I51" s="25" t="str">
        <f>IF(D51="","",VLOOKUP(D51,T_MEDIDAS[],11,FALSE))</f>
        <v>€</v>
      </c>
      <c r="J51" s="46" t="str">
        <f>IF(D51="","",MID(VLOOKUP(D51,T_MEDIDAS[],20,FALSE),FIND(". ",VLOOKUP(D51,T_MEDIDAS[],20,FALSE))+2,FIND(" (",VLOOKUP(D51,T_MEDIDAS[],20,FALSE))-FIND(".",VLOOKUP(D51,T_MEDIDAS[],20,FALSE))-2))</f>
        <v>Sin Riesgo</v>
      </c>
      <c r="K51" s="51">
        <f>IF(D51="","",VLOOKUP(D51,T_MEDIDAS[],66,FALSE))</f>
        <v>200.00000027999997</v>
      </c>
      <c r="L51" s="61"/>
      <c r="M51" s="61"/>
      <c r="N51" s="61"/>
      <c r="O51" s="61"/>
      <c r="P51" s="61"/>
      <c r="Q51" s="61"/>
      <c r="R51" s="61"/>
      <c r="S51" s="55"/>
    </row>
    <row r="52" spans="1:19" ht="50.1" customHeight="1">
      <c r="A52" s="61"/>
      <c r="B52" s="55"/>
      <c r="C52" s="61"/>
      <c r="D52" s="12">
        <f>IF( ISERROR(VLOOKUP(ROW(C52)-9,T_MEDIDAS[],2,FALSE)), "", ROW(C52)-9 )</f>
        <v>43</v>
      </c>
      <c r="E52" s="12" t="str">
        <f>IF(D52="","",VLOOKUP(D52,T_MEDIDAS[],2,FALSE))</f>
        <v>Medida 139</v>
      </c>
      <c r="F52" s="17" t="str">
        <f>IF(D52="","",VLOOKUP(D52,T_MEDIDAS[],3,FALSE))</f>
        <v>Comunicación y sensibilización</v>
      </c>
      <c r="G52" s="17" t="str">
        <f>IF(D52="","",VLOOKUP(D52,T_MEDIDAS[],6,FALSE))</f>
        <v>Distribución de materiales informativos en oficinas de turismo y establecimientos turísticos</v>
      </c>
      <c r="H52" s="24">
        <f>IF(D52="","",VLOOKUP(D52,T_MEDIDAS[],21,FALSE))</f>
        <v>1</v>
      </c>
      <c r="I52" s="24" t="str">
        <f>IF(D52="","",VLOOKUP(D52,T_MEDIDAS[],11,FALSE))</f>
        <v>€</v>
      </c>
      <c r="J52" s="45" t="str">
        <f>IF(D52="","",MID(VLOOKUP(D52,T_MEDIDAS[],20,FALSE),FIND(". ",VLOOKUP(D52,T_MEDIDAS[],20,FALSE))+2,FIND(" (",VLOOKUP(D52,T_MEDIDAS[],20,FALSE))-FIND(".",VLOOKUP(D52,T_MEDIDAS[],20,FALSE))-2))</f>
        <v>Alto</v>
      </c>
      <c r="K52" s="50">
        <f>IF(D52="","",VLOOKUP(D52,T_MEDIDAS[],66,FALSE))</f>
        <v>187.50000138999999</v>
      </c>
      <c r="L52" s="61"/>
      <c r="M52" s="61"/>
      <c r="N52" s="61"/>
      <c r="O52" s="61"/>
      <c r="P52" s="61"/>
      <c r="Q52" s="61"/>
      <c r="R52" s="61"/>
      <c r="S52" s="55"/>
    </row>
    <row r="53" spans="1:19" ht="50.1" customHeight="1">
      <c r="A53" s="61"/>
      <c r="B53" s="55"/>
      <c r="C53" s="61"/>
      <c r="D53" s="18">
        <f>IF( ISERROR(VLOOKUP(ROW(C53)-9,T_MEDIDAS[],2,FALSE)), "", ROW(C53)-9 )</f>
        <v>44</v>
      </c>
      <c r="E53" s="18" t="str">
        <f>IF(D53="","",VLOOKUP(D53,T_MEDIDAS[],2,FALSE))</f>
        <v>Medida 138</v>
      </c>
      <c r="F53" s="13" t="str">
        <f>IF(D53="","",VLOOKUP(D53,T_MEDIDAS[],3,FALSE))</f>
        <v>Comunicación y sensibilización</v>
      </c>
      <c r="G53" s="13" t="str">
        <f>IF(D53="","",VLOOKUP(D53,T_MEDIDAS[],6,FALSE))</f>
        <v>Difusión de recomendaciones sobre medidas preventivas para la organización y asistentes a eventos culturales</v>
      </c>
      <c r="H53" s="25">
        <f>IF(D53="","",VLOOKUP(D53,T_MEDIDAS[],21,FALSE))</f>
        <v>1</v>
      </c>
      <c r="I53" s="25" t="str">
        <f>IF(D53="","",VLOOKUP(D53,T_MEDIDAS[],11,FALSE))</f>
        <v>€</v>
      </c>
      <c r="J53" s="46" t="str">
        <f>IF(D53="","",MID(VLOOKUP(D53,T_MEDIDAS[],20,FALSE),FIND(". ",VLOOKUP(D53,T_MEDIDAS[],20,FALSE))+2,FIND(" (",VLOOKUP(D53,T_MEDIDAS[],20,FALSE))-FIND(".",VLOOKUP(D53,T_MEDIDAS[],20,FALSE))-2))</f>
        <v>Alto</v>
      </c>
      <c r="K53" s="51">
        <f>IF(D53="","",VLOOKUP(D53,T_MEDIDAS[],66,FALSE))</f>
        <v>187.50000138000001</v>
      </c>
      <c r="L53" s="61"/>
      <c r="M53" s="61"/>
      <c r="N53" s="61"/>
      <c r="O53" s="61"/>
      <c r="P53" s="61"/>
      <c r="Q53" s="61"/>
      <c r="R53" s="61"/>
      <c r="S53" s="55"/>
    </row>
    <row r="54" spans="1:19" ht="50.1" customHeight="1">
      <c r="A54" s="61"/>
      <c r="B54" s="55"/>
      <c r="C54" s="61"/>
      <c r="D54" s="12">
        <f>IF( ISERROR(VLOOKUP(ROW(C54)-9,T_MEDIDAS[],2,FALSE)), "", ROW(C54)-9 )</f>
        <v>45</v>
      </c>
      <c r="E54" s="12" t="str">
        <f>IF(D54="","",VLOOKUP(D54,T_MEDIDAS[],2,FALSE))</f>
        <v>Medida 137</v>
      </c>
      <c r="F54" s="17" t="str">
        <f>IF(D54="","",VLOOKUP(D54,T_MEDIDAS[],3,FALSE))</f>
        <v>Comunicación y sensibilización</v>
      </c>
      <c r="G54" s="17" t="str">
        <f>IF(D54="","",VLOOKUP(D54,T_MEDIDAS[],6,FALSE))</f>
        <v>Difusión de recomendaciones para la organización, participantes y asistentes a eventos deportivos</v>
      </c>
      <c r="H54" s="24">
        <f>IF(D54="","",VLOOKUP(D54,T_MEDIDAS[],21,FALSE))</f>
        <v>1</v>
      </c>
      <c r="I54" s="24" t="str">
        <f>IF(D54="","",VLOOKUP(D54,T_MEDIDAS[],11,FALSE))</f>
        <v>€</v>
      </c>
      <c r="J54" s="45" t="str">
        <f>IF(D54="","",MID(VLOOKUP(D54,T_MEDIDAS[],20,FALSE),FIND(". ",VLOOKUP(D54,T_MEDIDAS[],20,FALSE))+2,FIND(" (",VLOOKUP(D54,T_MEDIDAS[],20,FALSE))-FIND(".",VLOOKUP(D54,T_MEDIDAS[],20,FALSE))-2))</f>
        <v>Alto</v>
      </c>
      <c r="K54" s="50">
        <f>IF(D54="","",VLOOKUP(D54,T_MEDIDAS[],66,FALSE))</f>
        <v>187.50000137000001</v>
      </c>
      <c r="L54" s="61"/>
      <c r="M54" s="61"/>
      <c r="N54" s="61"/>
      <c r="O54" s="61"/>
      <c r="P54" s="61"/>
      <c r="Q54" s="61"/>
      <c r="R54" s="61"/>
      <c r="S54" s="55"/>
    </row>
    <row r="55" spans="1:19" ht="50.1" customHeight="1">
      <c r="A55" s="61"/>
      <c r="B55" s="55"/>
      <c r="C55" s="61"/>
      <c r="D55" s="18">
        <f>IF( ISERROR(VLOOKUP(ROW(C55)-9,T_MEDIDAS[],2,FALSE)), "", ROW(C55)-9 )</f>
        <v>46</v>
      </c>
      <c r="E55" s="18" t="str">
        <f>IF(D55="","",VLOOKUP(D55,T_MEDIDAS[],2,FALSE))</f>
        <v>Medida 136</v>
      </c>
      <c r="F55" s="13" t="str">
        <f>IF(D55="","",VLOOKUP(D55,T_MEDIDAS[],3,FALSE))</f>
        <v>Comunicación y sensibilización</v>
      </c>
      <c r="G55" s="13" t="str">
        <f>IF(D55="","",VLOOKUP(D55,T_MEDIDAS[],6,FALSE))</f>
        <v>Campaña de información por parte de los servicios sociales de base municipales y ONGs para población especialmente vulnerable por motivos de situación social</v>
      </c>
      <c r="H55" s="25">
        <f>IF(D55="","",VLOOKUP(D55,T_MEDIDAS[],21,FALSE))</f>
        <v>1</v>
      </c>
      <c r="I55" s="25" t="str">
        <f>IF(D55="","",VLOOKUP(D55,T_MEDIDAS[],11,FALSE))</f>
        <v>€</v>
      </c>
      <c r="J55" s="46" t="str">
        <f>IF(D55="","",MID(VLOOKUP(D55,T_MEDIDAS[],20,FALSE),FIND(". ",VLOOKUP(D55,T_MEDIDAS[],20,FALSE))+2,FIND(" (",VLOOKUP(D55,T_MEDIDAS[],20,FALSE))-FIND(".",VLOOKUP(D55,T_MEDIDAS[],20,FALSE))-2))</f>
        <v>Alto</v>
      </c>
      <c r="K55" s="51">
        <f>IF(D55="","",VLOOKUP(D55,T_MEDIDAS[],66,FALSE))</f>
        <v>187.50000136</v>
      </c>
      <c r="L55" s="61"/>
      <c r="M55" s="61"/>
      <c r="N55" s="61"/>
      <c r="O55" s="61"/>
      <c r="P55" s="61"/>
      <c r="Q55" s="61"/>
      <c r="R55" s="61"/>
      <c r="S55" s="55"/>
    </row>
    <row r="56" spans="1:19" ht="50.1" customHeight="1">
      <c r="A56" s="61"/>
      <c r="B56" s="55"/>
      <c r="C56" s="61"/>
      <c r="D56" s="12">
        <f>IF( ISERROR(VLOOKUP(ROW(C56)-9,T_MEDIDAS[],2,FALSE)), "", ROW(C56)-9 )</f>
        <v>47</v>
      </c>
      <c r="E56" s="12" t="str">
        <f>IF(D56="","",VLOOKUP(D56,T_MEDIDAS[],2,FALSE))</f>
        <v>Medida 135</v>
      </c>
      <c r="F56" s="17" t="str">
        <f>IF(D56="","",VLOOKUP(D56,T_MEDIDAS[],3,FALSE))</f>
        <v>Comunicación y sensibilización</v>
      </c>
      <c r="G56" s="17" t="str">
        <f>IF(D56="","",VLOOKUP(D56,T_MEDIDAS[],6,FALSE))</f>
        <v>Campaña sobre medidas para prevención de incendios en urbanizaciones próximas a zonas forestales durante olas de calor (ej. evitar barbacoas, desbroces…)</v>
      </c>
      <c r="H56" s="24">
        <f>IF(D56="","",VLOOKUP(D56,T_MEDIDAS[],21,FALSE))</f>
        <v>2</v>
      </c>
      <c r="I56" s="24" t="str">
        <f>IF(D56="","",VLOOKUP(D56,T_MEDIDAS[],11,FALSE))</f>
        <v>€</v>
      </c>
      <c r="J56" s="45" t="str">
        <f>IF(D56="","",MID(VLOOKUP(D56,T_MEDIDAS[],20,FALSE),FIND(". ",VLOOKUP(D56,T_MEDIDAS[],20,FALSE))+2,FIND(" (",VLOOKUP(D56,T_MEDIDAS[],20,FALSE))-FIND(".",VLOOKUP(D56,T_MEDIDAS[],20,FALSE))-2))</f>
        <v>Alto</v>
      </c>
      <c r="K56" s="50">
        <f>IF(D56="","",VLOOKUP(D56,T_MEDIDAS[],66,FALSE))</f>
        <v>187.50000134999999</v>
      </c>
      <c r="L56" s="61"/>
      <c r="M56" s="61"/>
      <c r="N56" s="61"/>
      <c r="O56" s="61"/>
      <c r="P56" s="61"/>
      <c r="Q56" s="61"/>
      <c r="R56" s="61"/>
      <c r="S56" s="55"/>
    </row>
    <row r="57" spans="1:19" ht="50.1" customHeight="1">
      <c r="A57" s="61"/>
      <c r="B57" s="55"/>
      <c r="C57" s="61"/>
      <c r="D57" s="18">
        <f>IF( ISERROR(VLOOKUP(ROW(C57)-9,T_MEDIDAS[],2,FALSE)), "", ROW(C57)-9 )</f>
        <v>48</v>
      </c>
      <c r="E57" s="18" t="str">
        <f>IF(D57="","",VLOOKUP(D57,T_MEDIDAS[],2,FALSE))</f>
        <v>Medida 133</v>
      </c>
      <c r="F57" s="13" t="str">
        <f>IF(D57="","",VLOOKUP(D57,T_MEDIDAS[],3,FALSE))</f>
        <v>Comunicación y sensibilización</v>
      </c>
      <c r="G57" s="13" t="str">
        <f>IF(D57="","",VLOOKUP(D57,T_MEDIDAS[],6,FALSE))</f>
        <v>Campañas de información a trabajadores municipales relativa a la alerta y sobre las medidas para prevenir los efectos de calor</v>
      </c>
      <c r="H57" s="25">
        <f>IF(D57="","",VLOOKUP(D57,T_MEDIDAS[],21,FALSE))</f>
        <v>1</v>
      </c>
      <c r="I57" s="25" t="str">
        <f>IF(D57="","",VLOOKUP(D57,T_MEDIDAS[],11,FALSE))</f>
        <v>€</v>
      </c>
      <c r="J57" s="46" t="str">
        <f>IF(D57="","",MID(VLOOKUP(D57,T_MEDIDAS[],20,FALSE),FIND(". ",VLOOKUP(D57,T_MEDIDAS[],20,FALSE))+2,FIND(" (",VLOOKUP(D57,T_MEDIDAS[],20,FALSE))-FIND(".",VLOOKUP(D57,T_MEDIDAS[],20,FALSE))-2))</f>
        <v>Alto</v>
      </c>
      <c r="K57" s="51">
        <f>IF(D57="","",VLOOKUP(D57,T_MEDIDAS[],66,FALSE))</f>
        <v>187.50000133</v>
      </c>
      <c r="L57" s="61"/>
      <c r="M57" s="61"/>
      <c r="N57" s="61"/>
      <c r="O57" s="61"/>
      <c r="P57" s="61"/>
      <c r="Q57" s="61"/>
      <c r="R57" s="61"/>
      <c r="S57" s="55"/>
    </row>
    <row r="58" spans="1:19" ht="50.1" customHeight="1">
      <c r="A58" s="61"/>
      <c r="B58" s="55"/>
      <c r="C58" s="61"/>
      <c r="D58" s="12">
        <f>IF( ISERROR(VLOOKUP(ROW(C58)-9,T_MEDIDAS[],2,FALSE)), "", ROW(C58)-9 )</f>
        <v>49</v>
      </c>
      <c r="E58" s="12" t="str">
        <f>IF(D58="","",VLOOKUP(D58,T_MEDIDAS[],2,FALSE))</f>
        <v>Medida 132</v>
      </c>
      <c r="F58" s="17" t="str">
        <f>IF(D58="","",VLOOKUP(D58,T_MEDIDAS[],3,FALSE))</f>
        <v>Comunicación y sensibilización</v>
      </c>
      <c r="G58" s="17" t="str">
        <f>IF(D58="","",VLOOKUP(D58,T_MEDIDAS[],6,FALSE))</f>
        <v>Distribución de materiales de información entre las personas más vulnerables por motivos de edad avanzada</v>
      </c>
      <c r="H58" s="24">
        <f>IF(D58="","",VLOOKUP(D58,T_MEDIDAS[],21,FALSE))</f>
        <v>1</v>
      </c>
      <c r="I58" s="24" t="str">
        <f>IF(D58="","",VLOOKUP(D58,T_MEDIDAS[],11,FALSE))</f>
        <v>€</v>
      </c>
      <c r="J58" s="45" t="str">
        <f>IF(D58="","",MID(VLOOKUP(D58,T_MEDIDAS[],20,FALSE),FIND(". ",VLOOKUP(D58,T_MEDIDAS[],20,FALSE))+2,FIND(" (",VLOOKUP(D58,T_MEDIDAS[],20,FALSE))-FIND(".",VLOOKUP(D58,T_MEDIDAS[],20,FALSE))-2))</f>
        <v>Alto</v>
      </c>
      <c r="K58" s="50">
        <f>IF(D58="","",VLOOKUP(D58,T_MEDIDAS[],66,FALSE))</f>
        <v>187.50000132</v>
      </c>
      <c r="L58" s="61"/>
      <c r="M58" s="61"/>
      <c r="N58" s="61"/>
      <c r="O58" s="61"/>
      <c r="P58" s="61"/>
      <c r="Q58" s="61"/>
      <c r="R58" s="61"/>
      <c r="S58" s="55"/>
    </row>
    <row r="59" spans="1:19" ht="50.1" customHeight="1">
      <c r="A59" s="61"/>
      <c r="B59" s="55"/>
      <c r="C59" s="61"/>
      <c r="D59" s="18">
        <f>IF( ISERROR(VLOOKUP(ROW(C59)-9,T_MEDIDAS[],2,FALSE)), "", ROW(C59)-9 )</f>
        <v>50</v>
      </c>
      <c r="E59" s="18" t="str">
        <f>IF(D59="","",VLOOKUP(D59,T_MEDIDAS[],2,FALSE))</f>
        <v>Medida 131</v>
      </c>
      <c r="F59" s="13" t="str">
        <f>IF(D59="","",VLOOKUP(D59,T_MEDIDAS[],3,FALSE))</f>
        <v>Comunicación y sensibilización</v>
      </c>
      <c r="G59" s="13" t="str">
        <f>IF(D59="","",VLOOKUP(D59,T_MEDIDAS[],6,FALSE))</f>
        <v>Elaboración de campaña de información básica a la ciudadanía y a grupos específicos sobre los efectos nocivos del exceso de calor y medidas de autoprotección que deben adoptarse (ej. cuidados personales, medidas para el domicilio)</v>
      </c>
      <c r="H59" s="25">
        <f>IF(D59="","",VLOOKUP(D59,T_MEDIDAS[],21,FALSE))</f>
        <v>1</v>
      </c>
      <c r="I59" s="25" t="str">
        <f>IF(D59="","",VLOOKUP(D59,T_MEDIDAS[],11,FALSE))</f>
        <v>€</v>
      </c>
      <c r="J59" s="46" t="str">
        <f>IF(D59="","",MID(VLOOKUP(D59,T_MEDIDAS[],20,FALSE),FIND(". ",VLOOKUP(D59,T_MEDIDAS[],20,FALSE))+2,FIND(" (",VLOOKUP(D59,T_MEDIDAS[],20,FALSE))-FIND(".",VLOOKUP(D59,T_MEDIDAS[],20,FALSE))-2))</f>
        <v>Bajo</v>
      </c>
      <c r="K59" s="51">
        <f>IF(D59="","",VLOOKUP(D59,T_MEDIDAS[],66,FALSE))</f>
        <v>187.50000130999999</v>
      </c>
      <c r="L59" s="61"/>
      <c r="M59" s="61"/>
      <c r="N59" s="61"/>
      <c r="O59" s="61"/>
      <c r="P59" s="61"/>
      <c r="Q59" s="61"/>
      <c r="R59" s="61"/>
      <c r="S59" s="55"/>
    </row>
    <row r="60" spans="1:19" ht="50.1" customHeight="1">
      <c r="A60" s="61"/>
      <c r="B60" s="55"/>
      <c r="C60" s="61"/>
      <c r="D60" s="12">
        <f>IF( ISERROR(VLOOKUP(ROW(C60)-9,T_MEDIDAS[],2,FALSE)), "", ROW(C60)-9 )</f>
        <v>51</v>
      </c>
      <c r="E60" s="12" t="str">
        <f>IF(D60="","",VLOOKUP(D60,T_MEDIDAS[],2,FALSE))</f>
        <v>Medida 130</v>
      </c>
      <c r="F60" s="17" t="str">
        <f>IF(D60="","",VLOOKUP(D60,T_MEDIDAS[],3,FALSE))</f>
        <v>Comunicación y sensibilización</v>
      </c>
      <c r="G60" s="17" t="str">
        <f>IF(D60="","",VLOOKUP(D60,T_MEDIDAS[],6,FALSE))</f>
        <v>Difusión de información a población sobre la existencia del Plan, grupos de riesgo y significado de los niveles, a través de canales corporativos y medios de comunicación locales</v>
      </c>
      <c r="H60" s="24">
        <f>IF(D60="","",VLOOKUP(D60,T_MEDIDAS[],21,FALSE))</f>
        <v>1</v>
      </c>
      <c r="I60" s="24" t="str">
        <f>IF(D60="","",VLOOKUP(D60,T_MEDIDAS[],11,FALSE))</f>
        <v>€</v>
      </c>
      <c r="J60" s="45" t="str">
        <f>IF(D60="","",MID(VLOOKUP(D60,T_MEDIDAS[],20,FALSE),FIND(". ",VLOOKUP(D60,T_MEDIDAS[],20,FALSE))+2,FIND(" (",VLOOKUP(D60,T_MEDIDAS[],20,FALSE))-FIND(".",VLOOKUP(D60,T_MEDIDAS[],20,FALSE))-2))</f>
        <v>Alto</v>
      </c>
      <c r="K60" s="50">
        <f>IF(D60="","",VLOOKUP(D60,T_MEDIDAS[],66,FALSE))</f>
        <v>187.50000130000001</v>
      </c>
      <c r="L60" s="61"/>
      <c r="M60" s="163" t="s">
        <v>99</v>
      </c>
      <c r="N60" s="164"/>
      <c r="O60" s="164"/>
      <c r="P60" s="164"/>
      <c r="Q60" s="165"/>
      <c r="R60" s="61"/>
      <c r="S60" s="55"/>
    </row>
    <row r="61" spans="1:19" ht="50.1" customHeight="1">
      <c r="A61" s="61"/>
      <c r="B61" s="55"/>
      <c r="C61" s="61"/>
      <c r="D61" s="18">
        <f>IF( ISERROR(VLOOKUP(ROW(C61)-9,T_MEDIDAS[],2,FALSE)), "", ROW(C61)-9 )</f>
        <v>52</v>
      </c>
      <c r="E61" s="18" t="str">
        <f>IF(D61="","",VLOOKUP(D61,T_MEDIDAS[],2,FALSE))</f>
        <v>Medida 129</v>
      </c>
      <c r="F61" s="13" t="str">
        <f>IF(D61="","",VLOOKUP(D61,T_MEDIDAS[],3,FALSE))</f>
        <v>Comunicación y sensibilización</v>
      </c>
      <c r="G61" s="13" t="str">
        <f>IF(D61="","",VLOOKUP(D61,T_MEDIDAS[],6,FALSE))</f>
        <v xml:space="preserve">Difusión de medidas para la refrigeración natural de los edificios (ventilación simple, ventilación cruzada, ventilación nocturna, refrigeración por efecto evaporativo, reducción del uso de equipos emisores de calor) </v>
      </c>
      <c r="H61" s="25">
        <f>IF(D61="","",VLOOKUP(D61,T_MEDIDAS[],21,FALSE))</f>
        <v>1</v>
      </c>
      <c r="I61" s="25" t="str">
        <f>IF(D61="","",VLOOKUP(D61,T_MEDIDAS[],11,FALSE))</f>
        <v>€</v>
      </c>
      <c r="J61" s="46" t="str">
        <f>IF(D61="","",MID(VLOOKUP(D61,T_MEDIDAS[],20,FALSE),FIND(". ",VLOOKUP(D61,T_MEDIDAS[],20,FALSE))+2,FIND(" (",VLOOKUP(D61,T_MEDIDAS[],20,FALSE))-FIND(".",VLOOKUP(D61,T_MEDIDAS[],20,FALSE))-2))</f>
        <v>Alto</v>
      </c>
      <c r="K61" s="51">
        <f>IF(D61="","",VLOOKUP(D61,T_MEDIDAS[],66,FALSE))</f>
        <v>187.50000129</v>
      </c>
      <c r="L61" s="61"/>
      <c r="M61" s="93" t="s">
        <v>41</v>
      </c>
      <c r="N61" s="93" t="s">
        <v>86</v>
      </c>
      <c r="O61" s="93" t="s">
        <v>87</v>
      </c>
      <c r="P61" s="93" t="s">
        <v>88</v>
      </c>
      <c r="Q61" s="94" t="s">
        <v>89</v>
      </c>
      <c r="R61" s="61"/>
      <c r="S61" s="55"/>
    </row>
    <row r="62" spans="1:19" ht="50.1" customHeight="1">
      <c r="A62" s="61"/>
      <c r="B62" s="55"/>
      <c r="C62" s="61"/>
      <c r="D62" s="12">
        <f>IF( ISERROR(VLOOKUP(ROW(C62)-9,T_MEDIDAS[],2,FALSE)), "", ROW(C62)-9 )</f>
        <v>53</v>
      </c>
      <c r="E62" s="12" t="str">
        <f>IF(D62="","",VLOOKUP(D62,T_MEDIDAS[],2,FALSE))</f>
        <v>Medida 126</v>
      </c>
      <c r="F62" s="17" t="str">
        <f>IF(D62="","",VLOOKUP(D62,T_MEDIDAS[],3,FALSE))</f>
        <v>Comunicación y sensibilización</v>
      </c>
      <c r="G62" s="17" t="str">
        <f>IF(D62="","",VLOOKUP(D62,T_MEDIDAS[],6,FALSE))</f>
        <v>Campañas internas para los residentes y trabajadores de centros sociosanitarios sobre la importancia de una adecuada hidratación y la vigilancia del estado de los usuarios más vulnerables a los efectos de las altas temperaturas</v>
      </c>
      <c r="H62" s="24">
        <f>IF(D62="","",VLOOKUP(D62,T_MEDIDAS[],21,FALSE))</f>
        <v>1</v>
      </c>
      <c r="I62" s="24" t="str">
        <f>IF(D62="","",VLOOKUP(D62,T_MEDIDAS[],11,FALSE))</f>
        <v>€</v>
      </c>
      <c r="J62" s="45" t="str">
        <f>IF(D62="","",MID(VLOOKUP(D62,T_MEDIDAS[],20,FALSE),FIND(". ",VLOOKUP(D62,T_MEDIDAS[],20,FALSE))+2,FIND(" (",VLOOKUP(D62,T_MEDIDAS[],20,FALSE))-FIND(".",VLOOKUP(D62,T_MEDIDAS[],20,FALSE))-2))</f>
        <v>Medio</v>
      </c>
      <c r="K62" s="50">
        <f>IF(D62="","",VLOOKUP(D62,T_MEDIDAS[],66,FALSE))</f>
        <v>187.50000126</v>
      </c>
      <c r="L62" s="61"/>
      <c r="M62" s="15" t="s">
        <v>47</v>
      </c>
      <c r="N62" s="52">
        <f>N29+N30</f>
        <v>8.2446808510638299</v>
      </c>
      <c r="O62" s="52">
        <f t="shared" ref="O62:P62" si="0">O29+O30</f>
        <v>0.625</v>
      </c>
      <c r="P62" s="52">
        <f t="shared" si="0"/>
        <v>20</v>
      </c>
      <c r="Q62" s="28"/>
      <c r="R62" s="61"/>
      <c r="S62" s="55"/>
    </row>
    <row r="63" spans="1:19" ht="50.1" customHeight="1">
      <c r="A63" s="61"/>
      <c r="B63" s="55"/>
      <c r="C63" s="61"/>
      <c r="D63" s="18">
        <f>IF( ISERROR(VLOOKUP(ROW(C63)-9,T_MEDIDAS[],2,FALSE)), "", ROW(C63)-9 )</f>
        <v>54</v>
      </c>
      <c r="E63" s="18" t="str">
        <f>IF(D63="","",VLOOKUP(D63,T_MEDIDAS[],2,FALSE))</f>
        <v>Medida 118</v>
      </c>
      <c r="F63" s="13" t="str">
        <f>IF(D63="","",VLOOKUP(D63,T_MEDIDAS[],3,FALSE))</f>
        <v>Comunicación y sensibilización</v>
      </c>
      <c r="G63" s="13" t="str">
        <f>IF(D63="","",VLOOKUP(D63,T_MEDIDAS[],6,FALSE))</f>
        <v>Diseño y publicación de guías sobre "rutas frías" o "centros fríos" a través de paneles físicos o aplicaciones online</v>
      </c>
      <c r="H63" s="25">
        <f>IF(D63="","",VLOOKUP(D63,T_MEDIDAS[],21,FALSE))</f>
        <v>2</v>
      </c>
      <c r="I63" s="25" t="str">
        <f>IF(D63="","",VLOOKUP(D63,T_MEDIDAS[],11,FALSE))</f>
        <v>€€</v>
      </c>
      <c r="J63" s="46" t="str">
        <f>IF(D63="","",MID(VLOOKUP(D63,T_MEDIDAS[],20,FALSE),FIND(". ",VLOOKUP(D63,T_MEDIDAS[],20,FALSE))+2,FIND(" (",VLOOKUP(D63,T_MEDIDAS[],20,FALSE))-FIND(".",VLOOKUP(D63,T_MEDIDAS[],20,FALSE))-2))</f>
        <v>Alto</v>
      </c>
      <c r="K63" s="51">
        <f>IF(D63="","",VLOOKUP(D63,T_MEDIDAS[],66,FALSE))</f>
        <v>187.50000118</v>
      </c>
      <c r="L63" s="61"/>
      <c r="M63" s="15" t="s">
        <v>50</v>
      </c>
      <c r="N63" s="52">
        <f>N31+N32</f>
        <v>50.709219858156033</v>
      </c>
      <c r="O63" s="52">
        <f t="shared" ref="O63:P63" si="1">O31+O32</f>
        <v>67.5</v>
      </c>
      <c r="P63" s="52">
        <f t="shared" si="1"/>
        <v>30</v>
      </c>
      <c r="Q63" s="28"/>
      <c r="R63" s="61"/>
      <c r="S63" s="55"/>
    </row>
    <row r="64" spans="1:19" ht="50.1" customHeight="1">
      <c r="A64" s="61"/>
      <c r="B64" s="55"/>
      <c r="C64" s="61"/>
      <c r="D64" s="12">
        <f>IF( ISERROR(VLOOKUP(ROW(C64)-9,T_MEDIDAS[],2,FALSE)), "", ROW(C64)-9 )</f>
        <v>55</v>
      </c>
      <c r="E64" s="12" t="str">
        <f>IF(D64="","",VLOOKUP(D64,T_MEDIDAS[],2,FALSE))</f>
        <v>Medida 117</v>
      </c>
      <c r="F64" s="17" t="str">
        <f>IF(D64="","",VLOOKUP(D64,T_MEDIDAS[],3,FALSE))</f>
        <v>Comunicación y sensibilización</v>
      </c>
      <c r="G64" s="17" t="str">
        <f>IF(D64="","",VLOOKUP(D64,T_MEDIDAS[],6,FALSE))</f>
        <v>Colocación de paneles informativos sobre el nivel de alerta de cada día en un lugar visible para todos los usuarios y los trabajadores de los centros sociosanitarios</v>
      </c>
      <c r="H64" s="24">
        <f>IF(D64="","",VLOOKUP(D64,T_MEDIDAS[],21,FALSE))</f>
        <v>2</v>
      </c>
      <c r="I64" s="24" t="str">
        <f>IF(D64="","",VLOOKUP(D64,T_MEDIDAS[],11,FALSE))</f>
        <v>€</v>
      </c>
      <c r="J64" s="45" t="str">
        <f>IF(D64="","",MID(VLOOKUP(D64,T_MEDIDAS[],20,FALSE),FIND(". ",VLOOKUP(D64,T_MEDIDAS[],20,FALSE))+2,FIND(" (",VLOOKUP(D64,T_MEDIDAS[],20,FALSE))-FIND(".",VLOOKUP(D64,T_MEDIDAS[],20,FALSE))-2))</f>
        <v>Alto</v>
      </c>
      <c r="K64" s="50">
        <f>IF(D64="","",VLOOKUP(D64,T_MEDIDAS[],66,FALSE))</f>
        <v>187.50000117000002</v>
      </c>
      <c r="L64" s="61"/>
      <c r="M64" s="15" t="s">
        <v>53</v>
      </c>
      <c r="N64" s="52">
        <f>N33+N34</f>
        <v>54.432624113475178</v>
      </c>
      <c r="O64" s="52">
        <f t="shared" ref="O64:P64" si="2">O33+O34</f>
        <v>62.5</v>
      </c>
      <c r="P64" s="52">
        <f t="shared" si="2"/>
        <v>36.25</v>
      </c>
      <c r="Q64" s="28"/>
      <c r="R64" s="61"/>
      <c r="S64" s="55"/>
    </row>
    <row r="65" spans="1:19" ht="50.1" customHeight="1">
      <c r="A65" s="61"/>
      <c r="B65" s="55"/>
      <c r="C65" s="61"/>
      <c r="D65" s="18">
        <f>IF( ISERROR(VLOOKUP(ROW(C65)-9,T_MEDIDAS[],2,FALSE)), "", ROW(C65)-9 )</f>
        <v>56</v>
      </c>
      <c r="E65" s="18" t="str">
        <f>IF(D65="","",VLOOKUP(D65,T_MEDIDAS[],2,FALSE))</f>
        <v>Medida 115</v>
      </c>
      <c r="F65" s="13" t="str">
        <f>IF(D65="","",VLOOKUP(D65,T_MEDIDAS[],3,FALSE))</f>
        <v>Respuesta inmediata</v>
      </c>
      <c r="G65" s="13" t="str">
        <f>IF(D65="","",VLOOKUP(D65,T_MEDIDAS[],6,FALSE))</f>
        <v>Refuerzo de la comunicación con los servicios indicados en el plan de actuación municipal ante situaciones de emergencia</v>
      </c>
      <c r="H65" s="25">
        <f>IF(D65="","",VLOOKUP(D65,T_MEDIDAS[],21,FALSE))</f>
        <v>2</v>
      </c>
      <c r="I65" s="25" t="str">
        <f>IF(D65="","",VLOOKUP(D65,T_MEDIDAS[],11,FALSE))</f>
        <v>-</v>
      </c>
      <c r="J65" s="46" t="str">
        <f>IF(D65="","",MID(VLOOKUP(D65,T_MEDIDAS[],20,FALSE),FIND(". ",VLOOKUP(D65,T_MEDIDAS[],20,FALSE))+2,FIND(" (",VLOOKUP(D65,T_MEDIDAS[],20,FALSE))-FIND(".",VLOOKUP(D65,T_MEDIDAS[],20,FALSE))-2))</f>
        <v>Alto</v>
      </c>
      <c r="K65" s="51">
        <f>IF(D65="","",VLOOKUP(D65,T_MEDIDAS[],66,FALSE))</f>
        <v>187.50000115</v>
      </c>
      <c r="L65" s="61"/>
      <c r="M65" s="15" t="s">
        <v>56</v>
      </c>
      <c r="N65" s="52">
        <f>N35+N36</f>
        <v>65.691489361702125</v>
      </c>
      <c r="O65" s="52">
        <f t="shared" ref="O65:P65" si="3">O35+O36</f>
        <v>75</v>
      </c>
      <c r="P65" s="52">
        <f t="shared" si="3"/>
        <v>45</v>
      </c>
      <c r="Q65" s="28"/>
      <c r="R65" s="61"/>
      <c r="S65" s="55"/>
    </row>
    <row r="66" spans="1:19" ht="50.1" customHeight="1">
      <c r="A66" s="61"/>
      <c r="B66" s="55"/>
      <c r="C66" s="61"/>
      <c r="D66" s="12">
        <f>IF( ISERROR(VLOOKUP(ROW(C66)-9,T_MEDIDAS[],2,FALSE)), "", ROW(C66)-9 )</f>
        <v>57</v>
      </c>
      <c r="E66" s="12" t="str">
        <f>IF(D66="","",VLOOKUP(D66,T_MEDIDAS[],2,FALSE))</f>
        <v>Medida 114</v>
      </c>
      <c r="F66" s="17" t="str">
        <f>IF(D66="","",VLOOKUP(D66,T_MEDIDAS[],3,FALSE))</f>
        <v>Respuesta inmediata</v>
      </c>
      <c r="G66" s="17" t="str">
        <f>IF(D66="","",VLOOKUP(D66,T_MEDIDAS[],6,FALSE))</f>
        <v>Intensificación de la coordinación con servicios municipales que pueden actuar en situaciones de alerta por altas temperaturas (policía local, servicios sociales, agrupaciones de personas voluntarias, etc.).</v>
      </c>
      <c r="H66" s="24">
        <f>IF(D66="","",VLOOKUP(D66,T_MEDIDAS[],21,FALSE))</f>
        <v>2</v>
      </c>
      <c r="I66" s="24" t="str">
        <f>IF(D66="","",VLOOKUP(D66,T_MEDIDAS[],11,FALSE))</f>
        <v>-</v>
      </c>
      <c r="J66" s="45" t="str">
        <f>IF(D66="","",MID(VLOOKUP(D66,T_MEDIDAS[],20,FALSE),FIND(". ",VLOOKUP(D66,T_MEDIDAS[],20,FALSE))+2,FIND(" (",VLOOKUP(D66,T_MEDIDAS[],20,FALSE))-FIND(".",VLOOKUP(D66,T_MEDIDAS[],20,FALSE))-2))</f>
        <v>Alto</v>
      </c>
      <c r="K66" s="50">
        <f>IF(D66="","",VLOOKUP(D66,T_MEDIDAS[],66,FALSE))</f>
        <v>187.50000113999999</v>
      </c>
      <c r="L66" s="61"/>
      <c r="M66" s="96" t="s">
        <v>98</v>
      </c>
      <c r="N66" s="97">
        <f>SUM(N62:N65)</f>
        <v>179.07801418439715</v>
      </c>
      <c r="O66" s="97">
        <f t="shared" ref="O66:P66" si="4">SUM(O62:O65)</f>
        <v>205.625</v>
      </c>
      <c r="P66" s="97">
        <f t="shared" si="4"/>
        <v>131.25</v>
      </c>
      <c r="Q66" s="95"/>
      <c r="R66" s="61"/>
      <c r="S66" s="55"/>
    </row>
    <row r="67" spans="1:19" ht="50.1" customHeight="1">
      <c r="A67" s="61"/>
      <c r="B67" s="55"/>
      <c r="C67" s="61"/>
      <c r="D67" s="18">
        <f>IF( ISERROR(VLOOKUP(ROW(C67)-9,T_MEDIDAS[],2,FALSE)), "", ROW(C67)-9 )</f>
        <v>58</v>
      </c>
      <c r="E67" s="18" t="str">
        <f>IF(D67="","",VLOOKUP(D67,T_MEDIDAS[],2,FALSE))</f>
        <v>Medida 108</v>
      </c>
      <c r="F67" s="13" t="str">
        <f>IF(D67="","",VLOOKUP(D67,T_MEDIDAS[],3,FALSE))</f>
        <v>Respuesta inmediata</v>
      </c>
      <c r="G67" s="13" t="str">
        <f>IF(D67="","",VLOOKUP(D67,T_MEDIDAS[],6,FALSE))</f>
        <v>Valorar la suspensión, el aplazamiento o el cambio de horario de las actividades organizadas para los días de alerta que entrañen riesgos para la salud en situaciones de altas temperaturas</v>
      </c>
      <c r="H67" s="25">
        <f>IF(D67="","",VLOOKUP(D67,T_MEDIDAS[],21,FALSE))</f>
        <v>1</v>
      </c>
      <c r="I67" s="25" t="str">
        <f>IF(D67="","",VLOOKUP(D67,T_MEDIDAS[],11,FALSE))</f>
        <v>€</v>
      </c>
      <c r="J67" s="46" t="str">
        <f>IF(D67="","",MID(VLOOKUP(D67,T_MEDIDAS[],20,FALSE),FIND(". ",VLOOKUP(D67,T_MEDIDAS[],20,FALSE))+2,FIND(" (",VLOOKUP(D67,T_MEDIDAS[],20,FALSE))-FIND(".",VLOOKUP(D67,T_MEDIDAS[],20,FALSE))-2))</f>
        <v>Alto</v>
      </c>
      <c r="K67" s="51">
        <f>IF(D67="","",VLOOKUP(D67,T_MEDIDAS[],66,FALSE))</f>
        <v>187.50000108</v>
      </c>
      <c r="L67" s="61"/>
      <c r="M67" s="61"/>
      <c r="N67" s="61"/>
      <c r="O67" s="61"/>
      <c r="P67" s="61"/>
      <c r="Q67" s="61"/>
      <c r="R67" s="61"/>
      <c r="S67" s="55"/>
    </row>
    <row r="68" spans="1:19" ht="50.1" customHeight="1">
      <c r="A68" s="61"/>
      <c r="B68" s="55"/>
      <c r="C68" s="61"/>
      <c r="D68" s="12">
        <f>IF( ISERROR(VLOOKUP(ROW(C68)-9,T_MEDIDAS[],2,FALSE)), "", ROW(C68)-9 )</f>
        <v>59</v>
      </c>
      <c r="E68" s="12" t="str">
        <f>IF(D68="","",VLOOKUP(D68,T_MEDIDAS[],2,FALSE))</f>
        <v>Medida 107</v>
      </c>
      <c r="F68" s="17" t="str">
        <f>IF(D68="","",VLOOKUP(D68,T_MEDIDAS[],3,FALSE))</f>
        <v>Respuesta inmediata</v>
      </c>
      <c r="G68" s="17" t="str">
        <f>IF(D68="","",VLOOKUP(D68,T_MEDIDAS[],6,FALSE))</f>
        <v>Coordinación e información con servicios sanitarios de apoyo a eventos culturales sobre medidas tomadas y alerta ante la aparición de síntomas de patología asociada al calor</v>
      </c>
      <c r="H68" s="24">
        <f>IF(D68="","",VLOOKUP(D68,T_MEDIDAS[],21,FALSE))</f>
        <v>1</v>
      </c>
      <c r="I68" s="24" t="str">
        <f>IF(D68="","",VLOOKUP(D68,T_MEDIDAS[],11,FALSE))</f>
        <v>€</v>
      </c>
      <c r="J68" s="45" t="str">
        <f>IF(D68="","",MID(VLOOKUP(D68,T_MEDIDAS[],20,FALSE),FIND(". ",VLOOKUP(D68,T_MEDIDAS[],20,FALSE))+2,FIND(" (",VLOOKUP(D68,T_MEDIDAS[],20,FALSE))-FIND(".",VLOOKUP(D68,T_MEDIDAS[],20,FALSE))-2))</f>
        <v>Alto</v>
      </c>
      <c r="K68" s="50">
        <f>IF(D68="","",VLOOKUP(D68,T_MEDIDAS[],66,FALSE))</f>
        <v>187.50000107</v>
      </c>
      <c r="L68" s="61"/>
      <c r="M68" s="61"/>
      <c r="N68" s="61"/>
      <c r="O68" s="61"/>
      <c r="P68" s="61"/>
      <c r="Q68" s="61"/>
      <c r="R68" s="61"/>
      <c r="S68" s="55"/>
    </row>
    <row r="69" spans="1:19" ht="50.1" customHeight="1">
      <c r="A69" s="61"/>
      <c r="B69" s="55"/>
      <c r="C69" s="61"/>
      <c r="D69" s="18">
        <f>IF( ISERROR(VLOOKUP(ROW(C69)-9,T_MEDIDAS[],2,FALSE)), "", ROW(C69)-9 )</f>
        <v>60</v>
      </c>
      <c r="E69" s="18" t="str">
        <f>IF(D69="","",VLOOKUP(D69,T_MEDIDAS[],2,FALSE))</f>
        <v>Medida 106</v>
      </c>
      <c r="F69" s="13" t="str">
        <f>IF(D69="","",VLOOKUP(D69,T_MEDIDAS[],3,FALSE))</f>
        <v>Respuesta inmediata</v>
      </c>
      <c r="G69" s="13" t="str">
        <f>IF(D69="","",VLOOKUP(D69,T_MEDIDAS[],6,FALSE))</f>
        <v>Coordinación e información con servicios sanitarios de apoyo a eventos deportivos sobre medidas tomadas y alerta ante la aparición de síntomas de patología asociada al calor</v>
      </c>
      <c r="H69" s="25">
        <f>IF(D69="","",VLOOKUP(D69,T_MEDIDAS[],21,FALSE))</f>
        <v>1</v>
      </c>
      <c r="I69" s="25" t="str">
        <f>IF(D69="","",VLOOKUP(D69,T_MEDIDAS[],11,FALSE))</f>
        <v>€</v>
      </c>
      <c r="J69" s="46" t="str">
        <f>IF(D69="","",MID(VLOOKUP(D69,T_MEDIDAS[],20,FALSE),FIND(". ",VLOOKUP(D69,T_MEDIDAS[],20,FALSE))+2,FIND(" (",VLOOKUP(D69,T_MEDIDAS[],20,FALSE))-FIND(".",VLOOKUP(D69,T_MEDIDAS[],20,FALSE))-2))</f>
        <v>Alto</v>
      </c>
      <c r="K69" s="51">
        <f>IF(D69="","",VLOOKUP(D69,T_MEDIDAS[],66,FALSE))</f>
        <v>187.50000105999999</v>
      </c>
      <c r="L69" s="61"/>
      <c r="M69" s="61"/>
      <c r="N69" s="61"/>
      <c r="O69" s="61"/>
      <c r="P69" s="61"/>
      <c r="Q69" s="61"/>
      <c r="R69" s="61"/>
      <c r="S69" s="55"/>
    </row>
    <row r="70" spans="1:19" ht="50.1" customHeight="1">
      <c r="A70" s="61"/>
      <c r="B70" s="55"/>
      <c r="C70" s="61"/>
      <c r="D70" s="12">
        <f>IF( ISERROR(VLOOKUP(ROW(C70)-9,T_MEDIDAS[],2,FALSE)), "", ROW(C70)-9 )</f>
        <v>61</v>
      </c>
      <c r="E70" s="12" t="str">
        <f>IF(D70="","",VLOOKUP(D70,T_MEDIDAS[],2,FALSE))</f>
        <v>Medida 103</v>
      </c>
      <c r="F70" s="17" t="str">
        <f>IF(D70="","",VLOOKUP(D70,T_MEDIDAS[],3,FALSE))</f>
        <v>Respuesta inmediata</v>
      </c>
      <c r="G70" s="17" t="str">
        <f>IF(D70="","",VLOOKUP(D70,T_MEDIDAS[],6,FALSE))</f>
        <v>Actuaciones en calle para sensibilización y distribución de material preventivo a personas sin hogar</v>
      </c>
      <c r="H70" s="24">
        <f>IF(D70="","",VLOOKUP(D70,T_MEDIDAS[],21,FALSE))</f>
        <v>1</v>
      </c>
      <c r="I70" s="24" t="str">
        <f>IF(D70="","",VLOOKUP(D70,T_MEDIDAS[],11,FALSE))</f>
        <v>€</v>
      </c>
      <c r="J70" s="45" t="str">
        <f>IF(D70="","",MID(VLOOKUP(D70,T_MEDIDAS[],20,FALSE),FIND(". ",VLOOKUP(D70,T_MEDIDAS[],20,FALSE))+2,FIND(" (",VLOOKUP(D70,T_MEDIDAS[],20,FALSE))-FIND(".",VLOOKUP(D70,T_MEDIDAS[],20,FALSE))-2))</f>
        <v>Alto</v>
      </c>
      <c r="K70" s="50">
        <f>IF(D70="","",VLOOKUP(D70,T_MEDIDAS[],66,FALSE))</f>
        <v>187.50000102999999</v>
      </c>
      <c r="L70" s="61"/>
      <c r="M70" s="61"/>
      <c r="N70" s="61"/>
      <c r="O70" s="61"/>
      <c r="P70" s="61"/>
      <c r="Q70" s="61"/>
      <c r="R70" s="61"/>
      <c r="S70" s="55"/>
    </row>
    <row r="71" spans="1:19" ht="50.1" customHeight="1">
      <c r="A71" s="61"/>
      <c r="B71" s="55"/>
      <c r="C71" s="61"/>
      <c r="D71" s="18">
        <f>IF( ISERROR(VLOOKUP(ROW(C71)-9,T_MEDIDAS[],2,FALSE)), "", ROW(C71)-9 )</f>
        <v>62</v>
      </c>
      <c r="E71" s="18" t="str">
        <f>IF(D71="","",VLOOKUP(D71,T_MEDIDAS[],2,FALSE))</f>
        <v>Medida 98</v>
      </c>
      <c r="F71" s="13" t="str">
        <f>IF(D71="","",VLOOKUP(D71,T_MEDIDAS[],3,FALSE))</f>
        <v>Respuesta inmediata</v>
      </c>
      <c r="G71" s="13" t="str">
        <f>IF(D71="","",VLOOKUP(D71,T_MEDIDAS[],6,FALSE))</f>
        <v>Reducción del uso de equipos e instalaciones que generen calor en equipamientos y edificios públicos (apagar equipos informáticos, proyectores o pizarras interactivas en modo "stand by", reducir la iluminación de espacios comunes y mantener apagadas luminarias que no sean tipo LED).</v>
      </c>
      <c r="H71" s="25">
        <f>IF(D71="","",VLOOKUP(D71,T_MEDIDAS[],21,FALSE))</f>
        <v>4</v>
      </c>
      <c r="I71" s="25" t="str">
        <f>IF(D71="","",VLOOKUP(D71,T_MEDIDAS[],11,FALSE))</f>
        <v>€</v>
      </c>
      <c r="J71" s="46" t="str">
        <f>IF(D71="","",MID(VLOOKUP(D71,T_MEDIDAS[],20,FALSE),FIND(". ",VLOOKUP(D71,T_MEDIDAS[],20,FALSE))+2,FIND(" (",VLOOKUP(D71,T_MEDIDAS[],20,FALSE))-FIND(".",VLOOKUP(D71,T_MEDIDAS[],20,FALSE))-2))</f>
        <v>Alto</v>
      </c>
      <c r="K71" s="51">
        <f>IF(D71="","",VLOOKUP(D71,T_MEDIDAS[],66,FALSE))</f>
        <v>187.50000097999998</v>
      </c>
      <c r="L71" s="61"/>
      <c r="M71" s="61"/>
      <c r="N71" s="61"/>
      <c r="O71" s="61"/>
      <c r="P71" s="61"/>
      <c r="Q71" s="61"/>
      <c r="R71" s="61"/>
      <c r="S71" s="55"/>
    </row>
    <row r="72" spans="1:19" ht="50.1" customHeight="1">
      <c r="A72" s="61"/>
      <c r="B72" s="55"/>
      <c r="C72" s="61"/>
      <c r="D72" s="12">
        <f>IF( ISERROR(VLOOKUP(ROW(C72)-9,T_MEDIDAS[],2,FALSE)), "", ROW(C72)-9 )</f>
        <v>63</v>
      </c>
      <c r="E72" s="12" t="str">
        <f>IF(D72="","",VLOOKUP(D72,T_MEDIDAS[],2,FALSE))</f>
        <v>Medida 97</v>
      </c>
      <c r="F72" s="17" t="str">
        <f>IF(D72="","",VLOOKUP(D72,T_MEDIDAS[],3,FALSE))</f>
        <v>Respuesta inmediata</v>
      </c>
      <c r="G72" s="17" t="str">
        <f>IF(D72="","",VLOOKUP(D72,T_MEDIDAS[],6,FALSE))</f>
        <v>Uso de elementos de protección (toldos, personas, pantallas vinílicas) en ventanas de edificios públicos en momentos de radiación directa</v>
      </c>
      <c r="H72" s="24">
        <f>IF(D72="","",VLOOKUP(D72,T_MEDIDAS[],21,FALSE))</f>
        <v>4</v>
      </c>
      <c r="I72" s="24" t="str">
        <f>IF(D72="","",VLOOKUP(D72,T_MEDIDAS[],11,FALSE))</f>
        <v>€€</v>
      </c>
      <c r="J72" s="45" t="str">
        <f>IF(D72="","",MID(VLOOKUP(D72,T_MEDIDAS[],20,FALSE),FIND(". ",VLOOKUP(D72,T_MEDIDAS[],20,FALSE))+2,FIND(" (",VLOOKUP(D72,T_MEDIDAS[],20,FALSE))-FIND(".",VLOOKUP(D72,T_MEDIDAS[],20,FALSE))-2))</f>
        <v>Alto</v>
      </c>
      <c r="K72" s="50">
        <f>IF(D72="","",VLOOKUP(D72,T_MEDIDAS[],66,FALSE))</f>
        <v>187.50000097</v>
      </c>
      <c r="L72" s="61"/>
      <c r="M72" s="61"/>
      <c r="N72" s="61"/>
      <c r="O72" s="61"/>
      <c r="P72" s="61"/>
      <c r="Q72" s="61"/>
      <c r="R72" s="61"/>
      <c r="S72" s="55"/>
    </row>
    <row r="73" spans="1:19" ht="50.1" customHeight="1">
      <c r="A73" s="61"/>
      <c r="B73" s="55"/>
      <c r="C73" s="61"/>
      <c r="D73" s="18">
        <f>IF( ISERROR(VLOOKUP(ROW(C73)-9,T_MEDIDAS[],2,FALSE)), "", ROW(C73)-9 )</f>
        <v>64</v>
      </c>
      <c r="E73" s="18" t="str">
        <f>IF(D73="","",VLOOKUP(D73,T_MEDIDAS[],2,FALSE))</f>
        <v>Medida 95</v>
      </c>
      <c r="F73" s="13" t="str">
        <f>IF(D73="","",VLOOKUP(D73,T_MEDIDAS[],3,FALSE))</f>
        <v>Respuesta inmediata</v>
      </c>
      <c r="G73" s="13" t="str">
        <f>IF(D73="","",VLOOKUP(D73,T_MEDIDAS[],6,FALSE))</f>
        <v>Evitar la celebración de actividades y eventos en el exterior, especialmente si suponen exposición al sol y en los momentos centrales del día.</v>
      </c>
      <c r="H73" s="25">
        <f>IF(D73="","",VLOOKUP(D73,T_MEDIDAS[],21,FALSE))</f>
        <v>2</v>
      </c>
      <c r="I73" s="25" t="str">
        <f>IF(D73="","",VLOOKUP(D73,T_MEDIDAS[],11,FALSE))</f>
        <v>€</v>
      </c>
      <c r="J73" s="46" t="str">
        <f>IF(D73="","",MID(VLOOKUP(D73,T_MEDIDAS[],20,FALSE),FIND(". ",VLOOKUP(D73,T_MEDIDAS[],20,FALSE))+2,FIND(" (",VLOOKUP(D73,T_MEDIDAS[],20,FALSE))-FIND(".",VLOOKUP(D73,T_MEDIDAS[],20,FALSE))-2))</f>
        <v>Alto</v>
      </c>
      <c r="K73" s="51">
        <f>IF(D73="","",VLOOKUP(D73,T_MEDIDAS[],66,FALSE))</f>
        <v>187.50000094999999</v>
      </c>
      <c r="L73" s="61"/>
      <c r="M73" s="61"/>
      <c r="N73" s="61"/>
      <c r="O73" s="61"/>
      <c r="P73" s="61"/>
      <c r="Q73" s="61"/>
      <c r="R73" s="61"/>
      <c r="S73" s="55"/>
    </row>
    <row r="74" spans="1:19" ht="50.1" customHeight="1">
      <c r="A74" s="61"/>
      <c r="B74" s="55"/>
      <c r="C74" s="61"/>
      <c r="D74" s="12">
        <f>IF( ISERROR(VLOOKUP(ROW(C74)-9,T_MEDIDAS[],2,FALSE)), "", ROW(C74)-9 )</f>
        <v>65</v>
      </c>
      <c r="E74" s="12" t="str">
        <f>IF(D74="","",VLOOKUP(D74,T_MEDIDAS[],2,FALSE))</f>
        <v>Medida 94</v>
      </c>
      <c r="F74" s="17" t="str">
        <f>IF(D74="","",VLOOKUP(D74,T_MEDIDAS[],3,FALSE))</f>
        <v>Respuesta inmediata</v>
      </c>
      <c r="G74" s="17" t="str">
        <f>IF(D74="","",VLOOKUP(D74,T_MEDIDAS[],6,FALSE))</f>
        <v>Reubicación de actividades con usuarios en equipamientos públicos, en las plantas bajas y con orientación norte y noreste de los edificios, evitando espacios que concentran el calor: espacios bajo cubierta, espacios con dificultados de ventilación (una sola orientación, los que dan a calles de tráfico intenso o a superficies que irradien calor), espacios con grandes superficies acristaladas sin proteger.</v>
      </c>
      <c r="H74" s="24">
        <f>IF(D74="","",VLOOKUP(D74,T_MEDIDAS[],21,FALSE))</f>
        <v>4</v>
      </c>
      <c r="I74" s="24" t="str">
        <f>IF(D74="","",VLOOKUP(D74,T_MEDIDAS[],11,FALSE))</f>
        <v>€</v>
      </c>
      <c r="J74" s="45" t="str">
        <f>IF(D74="","",MID(VLOOKUP(D74,T_MEDIDAS[],20,FALSE),FIND(". ",VLOOKUP(D74,T_MEDIDAS[],20,FALSE))+2,FIND(" (",VLOOKUP(D74,T_MEDIDAS[],20,FALSE))-FIND(".",VLOOKUP(D74,T_MEDIDAS[],20,FALSE))-2))</f>
        <v>Alto</v>
      </c>
      <c r="K74" s="50">
        <f>IF(D74="","",VLOOKUP(D74,T_MEDIDAS[],66,FALSE))</f>
        <v>187.50000093999998</v>
      </c>
      <c r="L74" s="61"/>
      <c r="M74" s="61"/>
      <c r="N74" s="61"/>
      <c r="O74" s="61"/>
      <c r="P74" s="61"/>
      <c r="Q74" s="61"/>
      <c r="R74" s="61"/>
      <c r="S74" s="55"/>
    </row>
    <row r="75" spans="1:19" ht="50.1" customHeight="1">
      <c r="A75" s="61"/>
      <c r="B75" s="55"/>
      <c r="C75" s="61"/>
      <c r="D75" s="18">
        <f>IF( ISERROR(VLOOKUP(ROW(C75)-9,T_MEDIDAS[],2,FALSE)), "", ROW(C75)-9 )</f>
        <v>66</v>
      </c>
      <c r="E75" s="18" t="str">
        <f>IF(D75="","",VLOOKUP(D75,T_MEDIDAS[],2,FALSE))</f>
        <v>Medida 85</v>
      </c>
      <c r="F75" s="13" t="str">
        <f>IF(D75="","",VLOOKUP(D75,T_MEDIDAS[],3,FALSE))</f>
        <v>Respuesta inmediata</v>
      </c>
      <c r="G75" s="13" t="str">
        <f>IF(D75="","",VLOOKUP(D75,T_MEDIDAS[],6,FALSE))</f>
        <v>Desarrollo de un dispositivo especial contra el calor para atender a las personas sin hogar, habilitando plazas adicionales de alojamiento en las horas centrales del día, de manera escalonada en función del nivel de riesgo</v>
      </c>
      <c r="H75" s="25">
        <f>IF(D75="","",VLOOKUP(D75,T_MEDIDAS[],21,FALSE))</f>
        <v>2</v>
      </c>
      <c r="I75" s="25" t="str">
        <f>IF(D75="","",VLOOKUP(D75,T_MEDIDAS[],11,FALSE))</f>
        <v>€</v>
      </c>
      <c r="J75" s="46" t="str">
        <f>IF(D75="","",MID(VLOOKUP(D75,T_MEDIDAS[],20,FALSE),FIND(". ",VLOOKUP(D75,T_MEDIDAS[],20,FALSE))+2,FIND(" (",VLOOKUP(D75,T_MEDIDAS[],20,FALSE))-FIND(".",VLOOKUP(D75,T_MEDIDAS[],20,FALSE))-2))</f>
        <v>Alto</v>
      </c>
      <c r="K75" s="51">
        <f>IF(D75="","",VLOOKUP(D75,T_MEDIDAS[],66,FALSE))</f>
        <v>187.50000084999999</v>
      </c>
      <c r="L75" s="61"/>
      <c r="M75" s="61"/>
      <c r="N75" s="61"/>
      <c r="O75" s="61"/>
      <c r="P75" s="61"/>
      <c r="Q75" s="61"/>
      <c r="R75" s="61"/>
      <c r="S75" s="55"/>
    </row>
    <row r="76" spans="1:19" ht="50.1" customHeight="1">
      <c r="A76" s="61"/>
      <c r="B76" s="55"/>
      <c r="C76" s="61"/>
      <c r="D76" s="12">
        <f>IF( ISERROR(VLOOKUP(ROW(C76)-9,T_MEDIDAS[],2,FALSE)), "", ROW(C76)-9 )</f>
        <v>67</v>
      </c>
      <c r="E76" s="12" t="str">
        <f>IF(D76="","",VLOOKUP(D76,T_MEDIDAS[],2,FALSE))</f>
        <v>Medida 82</v>
      </c>
      <c r="F76" s="17" t="str">
        <f>IF(D76="","",VLOOKUP(D76,T_MEDIDAS[],3,FALSE))</f>
        <v>Respuesta inmediata</v>
      </c>
      <c r="G76" s="17" t="str">
        <f>IF(D76="","",VLOOKUP(D76,T_MEDIDAS[],6,FALSE))</f>
        <v>Ventilación de edificios públicos en horario nocturno para que el calor acumulado irradie a la atmósfera</v>
      </c>
      <c r="H76" s="24">
        <f>IF(D76="","",VLOOKUP(D76,T_MEDIDAS[],21,FALSE))</f>
        <v>4</v>
      </c>
      <c r="I76" s="24" t="str">
        <f>IF(D76="","",VLOOKUP(D76,T_MEDIDAS[],11,FALSE))</f>
        <v>€</v>
      </c>
      <c r="J76" s="45" t="str">
        <f>IF(D76="","",MID(VLOOKUP(D76,T_MEDIDAS[],20,FALSE),FIND(". ",VLOOKUP(D76,T_MEDIDAS[],20,FALSE))+2,FIND(" (",VLOOKUP(D76,T_MEDIDAS[],20,FALSE))-FIND(".",VLOOKUP(D76,T_MEDIDAS[],20,FALSE))-2))</f>
        <v>Alto</v>
      </c>
      <c r="K76" s="50">
        <f>IF(D76="","",VLOOKUP(D76,T_MEDIDAS[],66,FALSE))</f>
        <v>187.50000082</v>
      </c>
      <c r="L76" s="61"/>
      <c r="M76" s="61"/>
      <c r="N76" s="61"/>
      <c r="O76" s="61"/>
      <c r="P76" s="61"/>
      <c r="Q76" s="61"/>
      <c r="R76" s="61"/>
      <c r="S76" s="55"/>
    </row>
    <row r="77" spans="1:19" ht="50.1" customHeight="1">
      <c r="A77" s="61"/>
      <c r="B77" s="55"/>
      <c r="C77" s="61"/>
      <c r="D77" s="18">
        <f>IF( ISERROR(VLOOKUP(ROW(C77)-9,T_MEDIDAS[],2,FALSE)), "", ROW(C77)-9 )</f>
        <v>68</v>
      </c>
      <c r="E77" s="18" t="str">
        <f>IF(D77="","",VLOOKUP(D77,T_MEDIDAS[],2,FALSE))</f>
        <v>Medida 80</v>
      </c>
      <c r="F77" s="13" t="str">
        <f>IF(D77="","",VLOOKUP(D77,T_MEDIDAS[],3,FALSE))</f>
        <v>Respuesta inmediata</v>
      </c>
      <c r="G77" s="13" t="str">
        <f>IF(D77="","",VLOOKUP(D77,T_MEDIDAS[],6,FALSE))</f>
        <v>Cancelación de eventos en el exterior ante la activación de niveles alto de riesgo por temperaturas extremas</v>
      </c>
      <c r="H77" s="25">
        <f>IF(D77="","",VLOOKUP(D77,T_MEDIDAS[],21,FALSE))</f>
        <v>2</v>
      </c>
      <c r="I77" s="25" t="str">
        <f>IF(D77="","",VLOOKUP(D77,T_MEDIDAS[],11,FALSE))</f>
        <v>€</v>
      </c>
      <c r="J77" s="46" t="str">
        <f>IF(D77="","",MID(VLOOKUP(D77,T_MEDIDAS[],20,FALSE),FIND(". ",VLOOKUP(D77,T_MEDIDAS[],20,FALSE))+2,FIND(" (",VLOOKUP(D77,T_MEDIDAS[],20,FALSE))-FIND(".",VLOOKUP(D77,T_MEDIDAS[],20,FALSE))-2))</f>
        <v>Alto</v>
      </c>
      <c r="K77" s="51">
        <f>IF(D77="","",VLOOKUP(D77,T_MEDIDAS[],66,FALSE))</f>
        <v>187.50000080000001</v>
      </c>
      <c r="L77" s="61"/>
      <c r="M77" s="61"/>
      <c r="N77" s="61"/>
      <c r="O77" s="61"/>
      <c r="P77" s="61"/>
      <c r="Q77" s="61"/>
      <c r="R77" s="61"/>
      <c r="S77" s="55"/>
    </row>
    <row r="78" spans="1:19" ht="50.1" customHeight="1">
      <c r="A78" s="61"/>
      <c r="B78" s="55"/>
      <c r="C78" s="61"/>
      <c r="D78" s="12">
        <f>IF( ISERROR(VLOOKUP(ROW(C78)-9,T_MEDIDAS[],2,FALSE)), "", ROW(C78)-9 )</f>
        <v>69</v>
      </c>
      <c r="E78" s="12" t="str">
        <f>IF(D78="","",VLOOKUP(D78,T_MEDIDAS[],2,FALSE))</f>
        <v>Medida 79</v>
      </c>
      <c r="F78" s="17" t="str">
        <f>IF(D78="","",VLOOKUP(D78,T_MEDIDAS[],3,FALSE))</f>
        <v>Respuesta inmediata</v>
      </c>
      <c r="G78" s="17" t="str">
        <f>IF(D78="","",VLOOKUP(D78,T_MEDIDAS[],6,FALSE))</f>
        <v>Revisión y seguimiento de los fenómenos meteorológicos cuando se haya previsto realizar algún tipo de actividad cultural o evento público en espacios exteriores, con el objetivo de maximizar las precauciones, evitar riesgos y activar protocolos.</v>
      </c>
      <c r="H78" s="24">
        <f>IF(D78="","",VLOOKUP(D78,T_MEDIDAS[],21,FALSE))</f>
        <v>1</v>
      </c>
      <c r="I78" s="24" t="str">
        <f>IF(D78="","",VLOOKUP(D78,T_MEDIDAS[],11,FALSE))</f>
        <v>€</v>
      </c>
      <c r="J78" s="45" t="str">
        <f>IF(D78="","",MID(VLOOKUP(D78,T_MEDIDAS[],20,FALSE),FIND(". ",VLOOKUP(D78,T_MEDIDAS[],20,FALSE))+2,FIND(" (",VLOOKUP(D78,T_MEDIDAS[],20,FALSE))-FIND(".",VLOOKUP(D78,T_MEDIDAS[],20,FALSE))-2))</f>
        <v>Alto</v>
      </c>
      <c r="K78" s="50">
        <f>IF(D78="","",VLOOKUP(D78,T_MEDIDAS[],66,FALSE))</f>
        <v>187.50000079</v>
      </c>
      <c r="L78" s="61"/>
      <c r="M78" s="61"/>
      <c r="N78" s="61"/>
      <c r="O78" s="61"/>
      <c r="P78" s="61"/>
      <c r="Q78" s="61"/>
      <c r="R78" s="61"/>
      <c r="S78" s="55"/>
    </row>
    <row r="79" spans="1:19" ht="50.1" customHeight="1">
      <c r="A79" s="61"/>
      <c r="B79" s="55"/>
      <c r="C79" s="61"/>
      <c r="D79" s="18">
        <f>IF( ISERROR(VLOOKUP(ROW(C79)-9,T_MEDIDAS[],2,FALSE)), "", ROW(C79)-9 )</f>
        <v>70</v>
      </c>
      <c r="E79" s="18" t="str">
        <f>IF(D79="","",VLOOKUP(D79,T_MEDIDAS[],2,FALSE))</f>
        <v>Medida 76</v>
      </c>
      <c r="F79" s="13" t="str">
        <f>IF(D79="","",VLOOKUP(D79,T_MEDIDAS[],3,FALSE))</f>
        <v>Respuesta inmediata</v>
      </c>
      <c r="G79" s="13" t="str">
        <f>IF(D79="","",VLOOKUP(D79,T_MEDIDAS[],6,FALSE))</f>
        <v>Disposición de sistemas que faciliten la aplicación de medidas de refrigeración personal de trabajadores y trabajadoras (duchas, mojarse la cabeza o la nuca)</v>
      </c>
      <c r="H79" s="25">
        <f>IF(D79="","",VLOOKUP(D79,T_MEDIDAS[],21,FALSE))</f>
        <v>1</v>
      </c>
      <c r="I79" s="25" t="str">
        <f>IF(D79="","",VLOOKUP(D79,T_MEDIDAS[],11,FALSE))</f>
        <v>€</v>
      </c>
      <c r="J79" s="46" t="str">
        <f>IF(D79="","",MID(VLOOKUP(D79,T_MEDIDAS[],20,FALSE),FIND(". ",VLOOKUP(D79,T_MEDIDAS[],20,FALSE))+2,FIND(" (",VLOOKUP(D79,T_MEDIDAS[],20,FALSE))-FIND(".",VLOOKUP(D79,T_MEDIDAS[],20,FALSE))-2))</f>
        <v>Alto</v>
      </c>
      <c r="K79" s="51">
        <f>IF(D79="","",VLOOKUP(D79,T_MEDIDAS[],66,FALSE))</f>
        <v>187.50000076000001</v>
      </c>
      <c r="L79" s="61"/>
      <c r="M79" s="61"/>
      <c r="N79" s="61"/>
      <c r="O79" s="61"/>
      <c r="P79" s="61"/>
      <c r="Q79" s="61"/>
      <c r="R79" s="61"/>
      <c r="S79" s="55"/>
    </row>
    <row r="80" spans="1:19" ht="50.1" customHeight="1">
      <c r="A80" s="61"/>
      <c r="B80" s="55"/>
      <c r="C80" s="61"/>
      <c r="D80" s="12">
        <f>IF( ISERROR(VLOOKUP(ROW(C80)-9,T_MEDIDAS[],2,FALSE)), "", ROW(C80)-9 )</f>
        <v>71</v>
      </c>
      <c r="E80" s="12" t="str">
        <f>IF(D80="","",VLOOKUP(D80,T_MEDIDAS[],2,FALSE))</f>
        <v>Medida 75</v>
      </c>
      <c r="F80" s="17" t="str">
        <f>IF(D80="","",VLOOKUP(D80,T_MEDIDAS[],3,FALSE))</f>
        <v>Respuesta inmediata</v>
      </c>
      <c r="G80" s="17" t="str">
        <f>IF(D80="","",VLOOKUP(D80,T_MEDIDAS[],6,FALSE))</f>
        <v>Establecimiento de puntos de suministro de agua para garantizar que se encuentra al alcance de los trabajadores y trabajadoras</v>
      </c>
      <c r="H80" s="24">
        <f>IF(D80="","",VLOOKUP(D80,T_MEDIDAS[],21,FALSE))</f>
        <v>1</v>
      </c>
      <c r="I80" s="24" t="str">
        <f>IF(D80="","",VLOOKUP(D80,T_MEDIDAS[],11,FALSE))</f>
        <v>€</v>
      </c>
      <c r="J80" s="45" t="str">
        <f>IF(D80="","",MID(VLOOKUP(D80,T_MEDIDAS[],20,FALSE),FIND(". ",VLOOKUP(D80,T_MEDIDAS[],20,FALSE))+2,FIND(" (",VLOOKUP(D80,T_MEDIDAS[],20,FALSE))-FIND(".",VLOOKUP(D80,T_MEDIDAS[],20,FALSE))-2))</f>
        <v>Alto</v>
      </c>
      <c r="K80" s="50">
        <f>IF(D80="","",VLOOKUP(D80,T_MEDIDAS[],66,FALSE))</f>
        <v>187.50000075</v>
      </c>
      <c r="L80" s="61"/>
      <c r="M80" s="61"/>
      <c r="N80" s="61"/>
      <c r="O80" s="61"/>
      <c r="P80" s="61"/>
      <c r="Q80" s="61"/>
      <c r="R80" s="61"/>
      <c r="S80" s="55"/>
    </row>
    <row r="81" spans="1:19" ht="50.1" customHeight="1">
      <c r="A81" s="61"/>
      <c r="B81" s="55"/>
      <c r="C81" s="61"/>
      <c r="D81" s="18">
        <f>IF( ISERROR(VLOOKUP(ROW(C81)-9,T_MEDIDAS[],2,FALSE)), "", ROW(C81)-9 )</f>
        <v>72</v>
      </c>
      <c r="E81" s="18" t="str">
        <f>IF(D81="","",VLOOKUP(D81,T_MEDIDAS[],2,FALSE))</f>
        <v>Medida 69</v>
      </c>
      <c r="F81" s="13" t="str">
        <f>IF(D81="","",VLOOKUP(D81,T_MEDIDAS[],3,FALSE))</f>
        <v>Respuesta inmediata</v>
      </c>
      <c r="G81" s="13" t="str">
        <f>IF(D81="","",VLOOKUP(D81,T_MEDIDAS[],6,FALSE))</f>
        <v>Colaboración con las organizaciones de salvamento y socorrismo para aumentar patrullas de socorristas en las playas y piscinas</v>
      </c>
      <c r="H81" s="25">
        <f>IF(D81="","",VLOOKUP(D81,T_MEDIDAS[],21,FALSE))</f>
        <v>1</v>
      </c>
      <c r="I81" s="25" t="str">
        <f>IF(D81="","",VLOOKUP(D81,T_MEDIDAS[],11,FALSE))</f>
        <v>€</v>
      </c>
      <c r="J81" s="46" t="str">
        <f>IF(D81="","",MID(VLOOKUP(D81,T_MEDIDAS[],20,FALSE),FIND(". ",VLOOKUP(D81,T_MEDIDAS[],20,FALSE))+2,FIND(" (",VLOOKUP(D81,T_MEDIDAS[],20,FALSE))-FIND(".",VLOOKUP(D81,T_MEDIDAS[],20,FALSE))-2))</f>
        <v>Alto</v>
      </c>
      <c r="K81" s="51">
        <f>IF(D81="","",VLOOKUP(D81,T_MEDIDAS[],66,FALSE))</f>
        <v>187.50000068999998</v>
      </c>
      <c r="L81" s="61"/>
      <c r="M81" s="61"/>
      <c r="N81" s="61"/>
      <c r="O81" s="61"/>
      <c r="P81" s="61"/>
      <c r="Q81" s="61"/>
      <c r="R81" s="61"/>
      <c r="S81" s="55"/>
    </row>
    <row r="82" spans="1:19" ht="50.1" customHeight="1">
      <c r="A82" s="61"/>
      <c r="B82" s="55"/>
      <c r="C82" s="61"/>
      <c r="D82" s="12">
        <f>IF( ISERROR(VLOOKUP(ROW(C82)-9,T_MEDIDAS[],2,FALSE)), "", ROW(C82)-9 )</f>
        <v>73</v>
      </c>
      <c r="E82" s="12" t="str">
        <f>IF(D82="","",VLOOKUP(D82,T_MEDIDAS[],2,FALSE))</f>
        <v>Medida 67</v>
      </c>
      <c r="F82" s="17" t="str">
        <f>IF(D82="","",VLOOKUP(D82,T_MEDIDAS[],3,FALSE))</f>
        <v>Respuesta inmediata</v>
      </c>
      <c r="G82" s="17" t="str">
        <f>IF(D82="","",VLOOKUP(D82,T_MEDIDAS[],6,FALSE))</f>
        <v>Extensión de horarios de piscinas públicas y privadas (gimnasios, comunidades de vecinos) mediante acuerdos con operarios y responsables de su gestión</v>
      </c>
      <c r="H82" s="24">
        <f>IF(D82="","",VLOOKUP(D82,T_MEDIDAS[],21,FALSE))</f>
        <v>2</v>
      </c>
      <c r="I82" s="24" t="str">
        <f>IF(D82="","",VLOOKUP(D82,T_MEDIDAS[],11,FALSE))</f>
        <v>€</v>
      </c>
      <c r="J82" s="45" t="str">
        <f>IF(D82="","",MID(VLOOKUP(D82,T_MEDIDAS[],20,FALSE),FIND(". ",VLOOKUP(D82,T_MEDIDAS[],20,FALSE))+2,FIND(" (",VLOOKUP(D82,T_MEDIDAS[],20,FALSE))-FIND(".",VLOOKUP(D82,T_MEDIDAS[],20,FALSE))-2))</f>
        <v>Alto</v>
      </c>
      <c r="K82" s="50">
        <f>IF(D82="","",VLOOKUP(D82,T_MEDIDAS[],66,FALSE))</f>
        <v>187.50000067000002</v>
      </c>
      <c r="L82" s="61"/>
      <c r="M82" s="61"/>
      <c r="N82" s="61"/>
      <c r="O82" s="61"/>
      <c r="P82" s="61"/>
      <c r="Q82" s="61"/>
      <c r="R82" s="61"/>
      <c r="S82" s="55"/>
    </row>
    <row r="83" spans="1:19" ht="50.1" customHeight="1">
      <c r="A83" s="61"/>
      <c r="B83" s="55"/>
      <c r="C83" s="61"/>
      <c r="D83" s="18">
        <f>IF( ISERROR(VLOOKUP(ROW(C83)-9,T_MEDIDAS[],2,FALSE)), "", ROW(C83)-9 )</f>
        <v>74</v>
      </c>
      <c r="E83" s="18" t="str">
        <f>IF(D83="","",VLOOKUP(D83,T_MEDIDAS[],2,FALSE))</f>
        <v>Medida 65</v>
      </c>
      <c r="F83" s="13" t="str">
        <f>IF(D83="","",VLOOKUP(D83,T_MEDIDAS[],3,FALSE))</f>
        <v>Respuesta inmediata</v>
      </c>
      <c r="G83" s="13" t="str">
        <f>IF(D83="","",VLOOKUP(D83,T_MEDIDAS[],6,FALSE))</f>
        <v>Puesta en marcha de un programa de voluntariado para vigilar el estado de los vecinos más vulnerables durante olas de calor</v>
      </c>
      <c r="H83" s="25">
        <f>IF(D83="","",VLOOKUP(D83,T_MEDIDAS[],21,FALSE))</f>
        <v>2</v>
      </c>
      <c r="I83" s="25" t="str">
        <f>IF(D83="","",VLOOKUP(D83,T_MEDIDAS[],11,FALSE))</f>
        <v>€</v>
      </c>
      <c r="J83" s="46" t="str">
        <f>IF(D83="","",MID(VLOOKUP(D83,T_MEDIDAS[],20,FALSE),FIND(". ",VLOOKUP(D83,T_MEDIDAS[],20,FALSE))+2,FIND(" (",VLOOKUP(D83,T_MEDIDAS[],20,FALSE))-FIND(".",VLOOKUP(D83,T_MEDIDAS[],20,FALSE))-2))</f>
        <v>Alto</v>
      </c>
      <c r="K83" s="51">
        <f>IF(D83="","",VLOOKUP(D83,T_MEDIDAS[],66,FALSE))</f>
        <v>187.50000065</v>
      </c>
      <c r="L83" s="61"/>
      <c r="M83" s="61"/>
      <c r="N83" s="61"/>
      <c r="O83" s="61"/>
      <c r="P83" s="61"/>
      <c r="Q83" s="61"/>
      <c r="R83" s="61"/>
      <c r="S83" s="55"/>
    </row>
    <row r="84" spans="1:19" ht="50.1" customHeight="1">
      <c r="A84" s="61"/>
      <c r="B84" s="55"/>
      <c r="C84" s="61"/>
      <c r="D84" s="12">
        <f>IF( ISERROR(VLOOKUP(ROW(C84)-9,T_MEDIDAS[],2,FALSE)), "", ROW(C84)-9 )</f>
        <v>75</v>
      </c>
      <c r="E84" s="12" t="str">
        <f>IF(D84="","",VLOOKUP(D84,T_MEDIDAS[],2,FALSE))</f>
        <v>Medida 62</v>
      </c>
      <c r="F84" s="17" t="str">
        <f>IF(D84="","",VLOOKUP(D84,T_MEDIDAS[],3,FALSE))</f>
        <v>Respuesta inmediata</v>
      </c>
      <c r="G84" s="17" t="str">
        <f>IF(D84="","",VLOOKUP(D84,T_MEDIDAS[],6,FALSE))</f>
        <v xml:space="preserve">Refrigeración por efecto evaporativo, regando durante la noche los solados de los espacios libres de parcela y humedeciendo las superficies expuestas a la radiación solar directa durante olas de calor </v>
      </c>
      <c r="H84" s="24">
        <f>IF(D84="","",VLOOKUP(D84,T_MEDIDAS[],21,FALSE))</f>
        <v>2</v>
      </c>
      <c r="I84" s="24" t="str">
        <f>IF(D84="","",VLOOKUP(D84,T_MEDIDAS[],11,FALSE))</f>
        <v>€€</v>
      </c>
      <c r="J84" s="45" t="str">
        <f>IF(D84="","",MID(VLOOKUP(D84,T_MEDIDAS[],20,FALSE),FIND(". ",VLOOKUP(D84,T_MEDIDAS[],20,FALSE))+2,FIND(" (",VLOOKUP(D84,T_MEDIDAS[],20,FALSE))-FIND(".",VLOOKUP(D84,T_MEDIDAS[],20,FALSE))-2))</f>
        <v>Alto</v>
      </c>
      <c r="K84" s="50">
        <f>IF(D84="","",VLOOKUP(D84,T_MEDIDAS[],66,FALSE))</f>
        <v>187.50000062000001</v>
      </c>
      <c r="L84" s="61"/>
      <c r="M84" s="61"/>
      <c r="N84" s="61"/>
      <c r="O84" s="61"/>
      <c r="P84" s="61"/>
      <c r="Q84" s="61"/>
      <c r="R84" s="61"/>
      <c r="S84" s="55"/>
    </row>
    <row r="85" spans="1:19" ht="50.1" customHeight="1">
      <c r="A85" s="61"/>
      <c r="B85" s="55"/>
      <c r="C85" s="61"/>
      <c r="D85" s="18">
        <f>IF( ISERROR(VLOOKUP(ROW(C85)-9,T_MEDIDAS[],2,FALSE)), "", ROW(C85)-9 )</f>
        <v>76</v>
      </c>
      <c r="E85" s="18" t="str">
        <f>IF(D85="","",VLOOKUP(D85,T_MEDIDAS[],2,FALSE))</f>
        <v>Medida 45</v>
      </c>
      <c r="F85" s="13" t="str">
        <f>IF(D85="","",VLOOKUP(D85,T_MEDIDAS[],3,FALSE))</f>
        <v>Prevención</v>
      </c>
      <c r="G85" s="13" t="str">
        <f>IF(D85="","",VLOOKUP(D85,T_MEDIDAS[],6,FALSE))</f>
        <v>Realizar una planificación de los trabajos adaptada a la condición de temperaturas extremas para: planificar las tareas de carga metabólica no ligera en jornadas y horas de menos calor; interrumpir y aplazar trabajos al aire libre; establecer o modificar los ciclos de trabajo-descanso y las rotaciones de puestos o tareas</v>
      </c>
      <c r="H85" s="25">
        <f>IF(D85="","",VLOOKUP(D85,T_MEDIDAS[],21,FALSE))</f>
        <v>1</v>
      </c>
      <c r="I85" s="25" t="str">
        <f>IF(D85="","",VLOOKUP(D85,T_MEDIDAS[],11,FALSE))</f>
        <v>€</v>
      </c>
      <c r="J85" s="46" t="str">
        <f>IF(D85="","",MID(VLOOKUP(D85,T_MEDIDAS[],20,FALSE),FIND(". ",VLOOKUP(D85,T_MEDIDAS[],20,FALSE))+2,FIND(" (",VLOOKUP(D85,T_MEDIDAS[],20,FALSE))-FIND(".",VLOOKUP(D85,T_MEDIDAS[],20,FALSE))-2))</f>
        <v>Sin Riesgo</v>
      </c>
      <c r="K85" s="51">
        <f>IF(D85="","",VLOOKUP(D85,T_MEDIDAS[],66,FALSE))</f>
        <v>187.50000044999999</v>
      </c>
      <c r="L85" s="61"/>
      <c r="M85" s="61"/>
      <c r="N85" s="61"/>
      <c r="O85" s="61"/>
      <c r="P85" s="61"/>
      <c r="Q85" s="61"/>
      <c r="R85" s="61"/>
      <c r="S85" s="55"/>
    </row>
    <row r="86" spans="1:19" ht="50.1" customHeight="1">
      <c r="A86" s="61"/>
      <c r="B86" s="55"/>
      <c r="C86" s="61"/>
      <c r="D86" s="12">
        <f>IF( ISERROR(VLOOKUP(ROW(C86)-9,T_MEDIDAS[],2,FALSE)), "", ROW(C86)-9 )</f>
        <v>77</v>
      </c>
      <c r="E86" s="12" t="str">
        <f>IF(D86="","",VLOOKUP(D86,T_MEDIDAS[],2,FALSE))</f>
        <v>Medida 39</v>
      </c>
      <c r="F86" s="17" t="str">
        <f>IF(D86="","",VLOOKUP(D86,T_MEDIDAS[],3,FALSE))</f>
        <v>Prevención</v>
      </c>
      <c r="G86" s="17" t="str">
        <f>IF(D86="","",VLOOKUP(D86,T_MEDIDAS[],6,FALSE))</f>
        <v>Disposición de áreas de descanso que permitan además hidratarse en edificios y equipamientos públicos.</v>
      </c>
      <c r="H86" s="24">
        <f>IF(D86="","",VLOOKUP(D86,T_MEDIDAS[],21,FALSE))</f>
        <v>4</v>
      </c>
      <c r="I86" s="24" t="str">
        <f>IF(D86="","",VLOOKUP(D86,T_MEDIDAS[],11,FALSE))</f>
        <v>€</v>
      </c>
      <c r="J86" s="45" t="str">
        <f>IF(D86="","",MID(VLOOKUP(D86,T_MEDIDAS[],20,FALSE),FIND(". ",VLOOKUP(D86,T_MEDIDAS[],20,FALSE))+2,FIND(" (",VLOOKUP(D86,T_MEDIDAS[],20,FALSE))-FIND(".",VLOOKUP(D86,T_MEDIDAS[],20,FALSE))-2))</f>
        <v>Sin Riesgo</v>
      </c>
      <c r="K86" s="50">
        <f>IF(D86="","",VLOOKUP(D86,T_MEDIDAS[],66,FALSE))</f>
        <v>187.50000039</v>
      </c>
      <c r="L86" s="61"/>
      <c r="M86" s="61"/>
      <c r="N86" s="61"/>
      <c r="O86" s="61"/>
      <c r="P86" s="61"/>
      <c r="Q86" s="61"/>
      <c r="R86" s="61"/>
      <c r="S86" s="55"/>
    </row>
    <row r="87" spans="1:19" ht="50.1" customHeight="1">
      <c r="A87" s="61"/>
      <c r="B87" s="55"/>
      <c r="C87" s="61"/>
      <c r="D87" s="18">
        <f>IF( ISERROR(VLOOKUP(ROW(C87)-9,T_MEDIDAS[],2,FALSE)), "", ROW(C87)-9 )</f>
        <v>78</v>
      </c>
      <c r="E87" s="18" t="str">
        <f>IF(D87="","",VLOOKUP(D87,T_MEDIDAS[],2,FALSE))</f>
        <v>Medida 33</v>
      </c>
      <c r="F87" s="13" t="str">
        <f>IF(D87="","",VLOOKUP(D87,T_MEDIDAS[],3,FALSE))</f>
        <v>Prevención</v>
      </c>
      <c r="G87" s="13" t="str">
        <f>IF(D87="","",VLOOKUP(D87,T_MEDIDAS[],6,FALSE))</f>
        <v>Formación de primeros auxilios para conductores y el resto del personal relacionado con el transporte público municipal</v>
      </c>
      <c r="H87" s="25">
        <f>IF(D87="","",VLOOKUP(D87,T_MEDIDAS[],21,FALSE))</f>
        <v>1</v>
      </c>
      <c r="I87" s="25" t="str">
        <f>IF(D87="","",VLOOKUP(D87,T_MEDIDAS[],11,FALSE))</f>
        <v>€</v>
      </c>
      <c r="J87" s="46" t="str">
        <f>IF(D87="","",MID(VLOOKUP(D87,T_MEDIDAS[],20,FALSE),FIND(". ",VLOOKUP(D87,T_MEDIDAS[],20,FALSE))+2,FIND(" (",VLOOKUP(D87,T_MEDIDAS[],20,FALSE))-FIND(".",VLOOKUP(D87,T_MEDIDAS[],20,FALSE))-2))</f>
        <v>Bajo</v>
      </c>
      <c r="K87" s="51">
        <f>IF(D87="","",VLOOKUP(D87,T_MEDIDAS[],66,FALSE))</f>
        <v>187.50000033000001</v>
      </c>
      <c r="L87" s="61"/>
      <c r="M87" s="61"/>
      <c r="N87" s="61"/>
      <c r="O87" s="61"/>
      <c r="P87" s="61"/>
      <c r="Q87" s="61"/>
      <c r="R87" s="61"/>
      <c r="S87" s="55"/>
    </row>
    <row r="88" spans="1:19" ht="50.1" customHeight="1">
      <c r="A88" s="61"/>
      <c r="B88" s="55"/>
      <c r="C88" s="61"/>
      <c r="D88" s="12">
        <f>IF( ISERROR(VLOOKUP(ROW(C88)-9,T_MEDIDAS[],2,FALSE)), "", ROW(C88)-9 )</f>
        <v>79</v>
      </c>
      <c r="E88" s="12" t="str">
        <f>IF(D88="","",VLOOKUP(D88,T_MEDIDAS[],2,FALSE))</f>
        <v>Medida 20</v>
      </c>
      <c r="F88" s="17" t="str">
        <f>IF(D88="","",VLOOKUP(D88,T_MEDIDAS[],3,FALSE))</f>
        <v>Prevención</v>
      </c>
      <c r="G88" s="17" t="str">
        <f>IF(D88="","",VLOOKUP(D88,T_MEDIDAS[],6,FALSE))</f>
        <v>Instalación de estructuras textiles con vegetación en zonas de aparcamiento o calles</v>
      </c>
      <c r="H88" s="24">
        <f>IF(D88="","",VLOOKUP(D88,T_MEDIDAS[],21,FALSE))</f>
        <v>2</v>
      </c>
      <c r="I88" s="24" t="str">
        <f>IF(D88="","",VLOOKUP(D88,T_MEDIDAS[],11,FALSE))</f>
        <v>€€€</v>
      </c>
      <c r="J88" s="45" t="str">
        <f>IF(D88="","",MID(VLOOKUP(D88,T_MEDIDAS[],20,FALSE),FIND(". ",VLOOKUP(D88,T_MEDIDAS[],20,FALSE))+2,FIND(" (",VLOOKUP(D88,T_MEDIDAS[],20,FALSE))-FIND(".",VLOOKUP(D88,T_MEDIDAS[],20,FALSE))-2))</f>
        <v>Sin Riesgo</v>
      </c>
      <c r="K88" s="50">
        <f>IF(D88="","",VLOOKUP(D88,T_MEDIDAS[],66,FALSE))</f>
        <v>187.50000019999999</v>
      </c>
      <c r="L88" s="61"/>
      <c r="M88" s="61"/>
      <c r="N88" s="61"/>
      <c r="O88" s="61"/>
      <c r="P88" s="61"/>
      <c r="Q88" s="61"/>
      <c r="R88" s="61"/>
      <c r="S88" s="55"/>
    </row>
    <row r="89" spans="1:19" ht="50.1" customHeight="1">
      <c r="A89" s="61"/>
      <c r="B89" s="55"/>
      <c r="C89" s="61"/>
      <c r="D89" s="18">
        <f>IF( ISERROR(VLOOKUP(ROW(C89)-9,T_MEDIDAS[],2,FALSE)), "", ROW(C89)-9 )</f>
        <v>80</v>
      </c>
      <c r="E89" s="18" t="str">
        <f>IF(D89="","",VLOOKUP(D89,T_MEDIDAS[],2,FALSE))</f>
        <v>Medida 18</v>
      </c>
      <c r="F89" s="13" t="str">
        <f>IF(D89="","",VLOOKUP(D89,T_MEDIDAS[],3,FALSE))</f>
        <v>Prevención</v>
      </c>
      <c r="G89" s="13" t="str">
        <f>IF(D89="","",VLOOKUP(D89,T_MEDIDAS[],6,FALSE))</f>
        <v>Plantación de arbolado urbano en itinerarios escolares para mejorar el confort climático de la infancia</v>
      </c>
      <c r="H89" s="25">
        <f>IF(D89="","",VLOOKUP(D89,T_MEDIDAS[],21,FALSE))</f>
        <v>2</v>
      </c>
      <c r="I89" s="25" t="str">
        <f>IF(D89="","",VLOOKUP(D89,T_MEDIDAS[],11,FALSE))</f>
        <v>€€€</v>
      </c>
      <c r="J89" s="46" t="str">
        <f>IF(D89="","",MID(VLOOKUP(D89,T_MEDIDAS[],20,FALSE),FIND(". ",VLOOKUP(D89,T_MEDIDAS[],20,FALSE))+2,FIND(" (",VLOOKUP(D89,T_MEDIDAS[],20,FALSE))-FIND(".",VLOOKUP(D89,T_MEDIDAS[],20,FALSE))-2))</f>
        <v>Sin Riesgo</v>
      </c>
      <c r="K89" s="51">
        <f>IF(D89="","",VLOOKUP(D89,T_MEDIDAS[],66,FALSE))</f>
        <v>187.50000018</v>
      </c>
      <c r="L89" s="61"/>
      <c r="M89" s="61"/>
      <c r="N89" s="61"/>
      <c r="O89" s="61"/>
      <c r="P89" s="61"/>
      <c r="Q89" s="61"/>
      <c r="R89" s="61"/>
      <c r="S89" s="55"/>
    </row>
    <row r="90" spans="1:19" ht="50.1" customHeight="1">
      <c r="A90" s="61"/>
      <c r="B90" s="55"/>
      <c r="C90" s="61"/>
      <c r="D90" s="12">
        <f>IF( ISERROR(VLOOKUP(ROW(C90)-9,T_MEDIDAS[],2,FALSE)), "", ROW(C90)-9 )</f>
        <v>81</v>
      </c>
      <c r="E90" s="12" t="str">
        <f>IF(D90="","",VLOOKUP(D90,T_MEDIDAS[],2,FALSE))</f>
        <v>Medida 11</v>
      </c>
      <c r="F90" s="17" t="str">
        <f>IF(D90="","",VLOOKUP(D90,T_MEDIDAS[],3,FALSE))</f>
        <v>Prevención</v>
      </c>
      <c r="G90" s="17" t="str">
        <f>IF(D90="","",VLOOKUP(D90,T_MEDIDAS[],6,FALSE))</f>
        <v>Instalación de toldos en parques infantiles</v>
      </c>
      <c r="H90" s="24">
        <f>IF(D90="","",VLOOKUP(D90,T_MEDIDAS[],21,FALSE))</f>
        <v>2</v>
      </c>
      <c r="I90" s="24" t="str">
        <f>IF(D90="","",VLOOKUP(D90,T_MEDIDAS[],11,FALSE))</f>
        <v>€€</v>
      </c>
      <c r="J90" s="45" t="str">
        <f>IF(D90="","",MID(VLOOKUP(D90,T_MEDIDAS[],20,FALSE),FIND(". ",VLOOKUP(D90,T_MEDIDAS[],20,FALSE))+2,FIND(" (",VLOOKUP(D90,T_MEDIDAS[],20,FALSE))-FIND(".",VLOOKUP(D90,T_MEDIDAS[],20,FALSE))-2))</f>
        <v>Sin Riesgo</v>
      </c>
      <c r="K90" s="50">
        <f>IF(D90="","",VLOOKUP(D90,T_MEDIDAS[],66,FALSE))</f>
        <v>187.50000011</v>
      </c>
      <c r="L90" s="61"/>
      <c r="M90" s="61"/>
      <c r="N90" s="61"/>
      <c r="O90" s="61"/>
      <c r="P90" s="61"/>
      <c r="Q90" s="61"/>
      <c r="R90" s="61"/>
      <c r="S90" s="55"/>
    </row>
    <row r="91" spans="1:19" ht="50.1" customHeight="1">
      <c r="A91" s="61"/>
      <c r="B91" s="55"/>
      <c r="C91" s="61"/>
      <c r="D91" s="18">
        <f>IF( ISERROR(VLOOKUP(ROW(C91)-9,T_MEDIDAS[],2,FALSE)), "", ROW(C91)-9 )</f>
        <v>82</v>
      </c>
      <c r="E91" s="18" t="str">
        <f>IF(D91="","",VLOOKUP(D91,T_MEDIDAS[],2,FALSE))</f>
        <v>Medida 9</v>
      </c>
      <c r="F91" s="13" t="str">
        <f>IF(D91="","",VLOOKUP(D91,T_MEDIDAS[],3,FALSE))</f>
        <v>Prevención</v>
      </c>
      <c r="G91" s="13" t="str">
        <f>IF(D91="","",VLOOKUP(D91,T_MEDIDAS[],6,FALSE))</f>
        <v>Evaluación bioclimática de calles y plazas para redefinir los usos de la ciudad en función de su confort climático</v>
      </c>
      <c r="H91" s="25">
        <f>IF(D91="","",VLOOKUP(D91,T_MEDIDAS[],21,FALSE))</f>
        <v>2</v>
      </c>
      <c r="I91" s="25" t="str">
        <f>IF(D91="","",VLOOKUP(D91,T_MEDIDAS[],11,FALSE))</f>
        <v>€</v>
      </c>
      <c r="J91" s="46" t="str">
        <f>IF(D91="","",MID(VLOOKUP(D91,T_MEDIDAS[],20,FALSE),FIND(". ",VLOOKUP(D91,T_MEDIDAS[],20,FALSE))+2,FIND(" (",VLOOKUP(D91,T_MEDIDAS[],20,FALSE))-FIND(".",VLOOKUP(D91,T_MEDIDAS[],20,FALSE))-2))</f>
        <v>Sin Riesgo</v>
      </c>
      <c r="K91" s="51">
        <f>IF(D91="","",VLOOKUP(D91,T_MEDIDAS[],66,FALSE))</f>
        <v>187.50000009000001</v>
      </c>
      <c r="L91" s="61"/>
      <c r="M91" s="61"/>
      <c r="N91" s="61"/>
      <c r="O91" s="61"/>
      <c r="P91" s="61"/>
      <c r="Q91" s="61"/>
      <c r="R91" s="61"/>
      <c r="S91" s="55"/>
    </row>
    <row r="92" spans="1:19" ht="50.1" customHeight="1">
      <c r="A92" s="61"/>
      <c r="B92" s="55"/>
      <c r="C92" s="61"/>
      <c r="D92" s="12">
        <f>IF( ISERROR(VLOOKUP(ROW(C92)-9,T_MEDIDAS[],2,FALSE)), "", ROW(C92)-9 )</f>
        <v>83</v>
      </c>
      <c r="E92" s="12" t="str">
        <f>IF(D92="","",VLOOKUP(D92,T_MEDIDAS[],2,FALSE))</f>
        <v>Medida 116</v>
      </c>
      <c r="F92" s="17" t="str">
        <f>IF(D92="","",VLOOKUP(D92,T_MEDIDAS[],3,FALSE))</f>
        <v>Respuesta inmediata</v>
      </c>
      <c r="G92" s="17" t="str">
        <f>IF(D92="","",VLOOKUP(D92,T_MEDIDAS[],6,FALSE))</f>
        <v>Refuerzo de la coordinación con los organismos responsables a nivel autonómico de los planes regionales para prevención de los efectos de las altas temperaturas extremas</v>
      </c>
      <c r="H92" s="24">
        <f>IF(D92="","",VLOOKUP(D92,T_MEDIDAS[],21,FALSE))</f>
        <v>2</v>
      </c>
      <c r="I92" s="24" t="str">
        <f>IF(D92="","",VLOOKUP(D92,T_MEDIDAS[],11,FALSE))</f>
        <v>-</v>
      </c>
      <c r="J92" s="45" t="str">
        <f>IF(D92="","",MID(VLOOKUP(D92,T_MEDIDAS[],20,FALSE),FIND(". ",VLOOKUP(D92,T_MEDIDAS[],20,FALSE))+2,FIND(" (",VLOOKUP(D92,T_MEDIDAS[],20,FALSE))-FIND(".",VLOOKUP(D92,T_MEDIDAS[],20,FALSE))-2))</f>
        <v>Alto</v>
      </c>
      <c r="K92" s="50">
        <f>IF(D92="","",VLOOKUP(D92,T_MEDIDAS[],66,FALSE))</f>
        <v>175.00000116000001</v>
      </c>
      <c r="L92" s="61"/>
      <c r="M92" s="61"/>
      <c r="N92" s="61"/>
      <c r="O92" s="61"/>
      <c r="P92" s="61"/>
      <c r="Q92" s="61"/>
      <c r="R92" s="61"/>
      <c r="S92" s="55"/>
    </row>
    <row r="93" spans="1:19" ht="50.1" customHeight="1">
      <c r="A93" s="61"/>
      <c r="B93" s="55"/>
      <c r="C93" s="61"/>
      <c r="D93" s="18">
        <f>IF( ISERROR(VLOOKUP(ROW(C93)-9,T_MEDIDAS[],2,FALSE)), "", ROW(C93)-9 )</f>
        <v>84</v>
      </c>
      <c r="E93" s="18" t="str">
        <f>IF(D93="","",VLOOKUP(D93,T_MEDIDAS[],2,FALSE))</f>
        <v>Medida 113</v>
      </c>
      <c r="F93" s="13" t="str">
        <f>IF(D93="","",VLOOKUP(D93,T_MEDIDAS[],3,FALSE))</f>
        <v>Respuesta inmediata</v>
      </c>
      <c r="G93" s="13" t="str">
        <f>IF(D93="","",VLOOKUP(D93,T_MEDIDAS[],6,FALSE))</f>
        <v>Intensificación de la coordinación con los organismos responsables a nivel autonómico de los planes regionales para prevención de los efectos de las altas temperaturas extremas</v>
      </c>
      <c r="H93" s="25">
        <f>IF(D93="","",VLOOKUP(D93,T_MEDIDAS[],21,FALSE))</f>
        <v>2</v>
      </c>
      <c r="I93" s="25" t="str">
        <f>IF(D93="","",VLOOKUP(D93,T_MEDIDAS[],11,FALSE))</f>
        <v>-</v>
      </c>
      <c r="J93" s="46" t="str">
        <f>IF(D93="","",MID(VLOOKUP(D93,T_MEDIDAS[],20,FALSE),FIND(". ",VLOOKUP(D93,T_MEDIDAS[],20,FALSE))+2,FIND(" (",VLOOKUP(D93,T_MEDIDAS[],20,FALSE))-FIND(".",VLOOKUP(D93,T_MEDIDAS[],20,FALSE))-2))</f>
        <v>Medio</v>
      </c>
      <c r="K93" s="51">
        <f>IF(D93="","",VLOOKUP(D93,T_MEDIDAS[],66,FALSE))</f>
        <v>175.00000113000002</v>
      </c>
      <c r="L93" s="61"/>
      <c r="M93" s="61"/>
      <c r="N93" s="61"/>
      <c r="O93" s="61"/>
      <c r="P93" s="61"/>
      <c r="Q93" s="61"/>
      <c r="R93" s="61"/>
      <c r="S93" s="55"/>
    </row>
    <row r="94" spans="1:19" ht="50.1" customHeight="1">
      <c r="A94" s="61"/>
      <c r="B94" s="55"/>
      <c r="C94" s="61"/>
      <c r="D94" s="12">
        <f>IF( ISERROR(VLOOKUP(ROW(C94)-9,T_MEDIDAS[],2,FALSE)), "", ROW(C94)-9 )</f>
        <v>85</v>
      </c>
      <c r="E94" s="12" t="str">
        <f>IF(D94="","",VLOOKUP(D94,T_MEDIDAS[],2,FALSE))</f>
        <v>Medida 102</v>
      </c>
      <c r="F94" s="17" t="str">
        <f>IF(D94="","",VLOOKUP(D94,T_MEDIDAS[],3,FALSE))</f>
        <v>Respuesta inmediata</v>
      </c>
      <c r="G94" s="17" t="str">
        <f>IF(D94="","",VLOOKUP(D94,T_MEDIDAS[],6,FALSE))</f>
        <v>Vigilancia y adecuación de eventos culturales (asegurar la disponibilidad de agua en suficientes puntos del recinto, facilitar áreas de sombra y puntos de refresco, avisos a los asistentes por megafonía y a la entrada sobre recomendaciones para prevenir los efectos del calor...)</v>
      </c>
      <c r="H94" s="24">
        <f>IF(D94="","",VLOOKUP(D94,T_MEDIDAS[],21,FALSE))</f>
        <v>1</v>
      </c>
      <c r="I94" s="24" t="str">
        <f>IF(D94="","",VLOOKUP(D94,T_MEDIDAS[],11,FALSE))</f>
        <v>€</v>
      </c>
      <c r="J94" s="45" t="str">
        <f>IF(D94="","",MID(VLOOKUP(D94,T_MEDIDAS[],20,FALSE),FIND(". ",VLOOKUP(D94,T_MEDIDAS[],20,FALSE))+2,FIND(" (",VLOOKUP(D94,T_MEDIDAS[],20,FALSE))-FIND(".",VLOOKUP(D94,T_MEDIDAS[],20,FALSE))-2))</f>
        <v>Alto</v>
      </c>
      <c r="K94" s="50">
        <f>IF(D94="","",VLOOKUP(D94,T_MEDIDAS[],66,FALSE))</f>
        <v>175.00000101999998</v>
      </c>
      <c r="L94" s="61"/>
      <c r="M94" s="61"/>
      <c r="N94" s="61"/>
      <c r="O94" s="61"/>
      <c r="P94" s="61"/>
      <c r="Q94" s="61"/>
      <c r="R94" s="61"/>
      <c r="S94" s="55"/>
    </row>
    <row r="95" spans="1:19" ht="50.1" customHeight="1">
      <c r="A95" s="61"/>
      <c r="B95" s="55"/>
      <c r="C95" s="61"/>
      <c r="D95" s="18">
        <f>IF( ISERROR(VLOOKUP(ROW(C95)-9,T_MEDIDAS[],2,FALSE)), "", ROW(C95)-9 )</f>
        <v>86</v>
      </c>
      <c r="E95" s="18" t="str">
        <f>IF(D95="","",VLOOKUP(D95,T_MEDIDAS[],2,FALSE))</f>
        <v>Medida 99</v>
      </c>
      <c r="F95" s="13" t="str">
        <f>IF(D95="","",VLOOKUP(D95,T_MEDIDAS[],3,FALSE))</f>
        <v>Respuesta inmediata</v>
      </c>
      <c r="G95" s="13" t="str">
        <f>IF(D95="","",VLOOKUP(D95,T_MEDIDAS[],6,FALSE))</f>
        <v>Refuerzo en caso necesario de dotación y organización de servicios de emergencias</v>
      </c>
      <c r="H95" s="25">
        <f>IF(D95="","",VLOOKUP(D95,T_MEDIDAS[],21,FALSE))</f>
        <v>2</v>
      </c>
      <c r="I95" s="25" t="str">
        <f>IF(D95="","",VLOOKUP(D95,T_MEDIDAS[],11,FALSE))</f>
        <v>€€</v>
      </c>
      <c r="J95" s="46" t="str">
        <f>IF(D95="","",MID(VLOOKUP(D95,T_MEDIDAS[],20,FALSE),FIND(". ",VLOOKUP(D95,T_MEDIDAS[],20,FALSE))+2,FIND(" (",VLOOKUP(D95,T_MEDIDAS[],20,FALSE))-FIND(".",VLOOKUP(D95,T_MEDIDAS[],20,FALSE))-2))</f>
        <v>Alto</v>
      </c>
      <c r="K95" s="51">
        <f>IF(D95="","",VLOOKUP(D95,T_MEDIDAS[],66,FALSE))</f>
        <v>175.00000098999999</v>
      </c>
      <c r="L95" s="61"/>
      <c r="M95" s="61"/>
      <c r="N95" s="61"/>
      <c r="O95" s="61"/>
      <c r="P95" s="61"/>
      <c r="Q95" s="61"/>
      <c r="R95" s="61"/>
      <c r="S95" s="55"/>
    </row>
    <row r="96" spans="1:19" ht="50.1" customHeight="1">
      <c r="A96" s="61"/>
      <c r="B96" s="55"/>
      <c r="C96" s="61"/>
      <c r="D96" s="12">
        <f>IF( ISERROR(VLOOKUP(ROW(C96)-9,T_MEDIDAS[],2,FALSE)), "", ROW(C96)-9 )</f>
        <v>87</v>
      </c>
      <c r="E96" s="12" t="str">
        <f>IF(D96="","",VLOOKUP(D96,T_MEDIDAS[],2,FALSE))</f>
        <v>Medida 71</v>
      </c>
      <c r="F96" s="17" t="str">
        <f>IF(D96="","",VLOOKUP(D96,T_MEDIDAS[],3,FALSE))</f>
        <v>Respuesta inmediata</v>
      </c>
      <c r="G96" s="17" t="str">
        <f>IF(D96="","",VLOOKUP(D96,T_MEDIDAS[],6,FALSE))</f>
        <v>Acuerdos con hosteleros y comerciantes para asegurar el suministro de agua gratuita en épocas de calor</v>
      </c>
      <c r="H96" s="24">
        <f>IF(D96="","",VLOOKUP(D96,T_MEDIDAS[],21,FALSE))</f>
        <v>1</v>
      </c>
      <c r="I96" s="24" t="str">
        <f>IF(D96="","",VLOOKUP(D96,T_MEDIDAS[],11,FALSE))</f>
        <v>€</v>
      </c>
      <c r="J96" s="45" t="str">
        <f>IF(D96="","",MID(VLOOKUP(D96,T_MEDIDAS[],20,FALSE),FIND(". ",VLOOKUP(D96,T_MEDIDAS[],20,FALSE))+2,FIND(" (",VLOOKUP(D96,T_MEDIDAS[],20,FALSE))-FIND(".",VLOOKUP(D96,T_MEDIDAS[],20,FALSE))-2))</f>
        <v>Alto</v>
      </c>
      <c r="K96" s="50">
        <f>IF(D96="","",VLOOKUP(D96,T_MEDIDAS[],66,FALSE))</f>
        <v>175.00000070999999</v>
      </c>
      <c r="L96" s="61"/>
      <c r="M96" s="61"/>
      <c r="N96" s="61"/>
      <c r="O96" s="61"/>
      <c r="P96" s="61"/>
      <c r="Q96" s="61"/>
      <c r="R96" s="61"/>
      <c r="S96" s="55"/>
    </row>
    <row r="97" spans="1:19" ht="50.1" customHeight="1">
      <c r="A97" s="61"/>
      <c r="B97" s="55"/>
      <c r="C97" s="61"/>
      <c r="D97" s="18">
        <f>IF( ISERROR(VLOOKUP(ROW(C97)-9,T_MEDIDAS[],2,FALSE)), "", ROW(C97)-9 )</f>
        <v>88</v>
      </c>
      <c r="E97" s="18" t="str">
        <f>IF(D97="","",VLOOKUP(D97,T_MEDIDAS[],2,FALSE))</f>
        <v>Medida 68</v>
      </c>
      <c r="F97" s="13" t="str">
        <f>IF(D97="","",VLOOKUP(D97,T_MEDIDAS[],3,FALSE))</f>
        <v>Respuesta inmediata</v>
      </c>
      <c r="G97" s="13" t="str">
        <f>IF(D97="","",VLOOKUP(D97,T_MEDIDAS[],6,FALSE))</f>
        <v>Suministro "Packs contra las olas de calor" de forma gratuita para la ciudadanía</v>
      </c>
      <c r="H97" s="25">
        <f>IF(D97="","",VLOOKUP(D97,T_MEDIDAS[],21,FALSE))</f>
        <v>1</v>
      </c>
      <c r="I97" s="25" t="str">
        <f>IF(D97="","",VLOOKUP(D97,T_MEDIDAS[],11,FALSE))</f>
        <v>€</v>
      </c>
      <c r="J97" s="46" t="str">
        <f>IF(D97="","",MID(VLOOKUP(D97,T_MEDIDAS[],20,FALSE),FIND(". ",VLOOKUP(D97,T_MEDIDAS[],20,FALSE))+2,FIND(" (",VLOOKUP(D97,T_MEDIDAS[],20,FALSE))-FIND(".",VLOOKUP(D97,T_MEDIDAS[],20,FALSE))-2))</f>
        <v>Alto</v>
      </c>
      <c r="K97" s="51">
        <f>IF(D97="","",VLOOKUP(D97,T_MEDIDAS[],66,FALSE))</f>
        <v>175.00000068</v>
      </c>
      <c r="L97" s="61"/>
      <c r="M97" s="61"/>
      <c r="N97" s="61"/>
      <c r="O97" s="61"/>
      <c r="P97" s="61"/>
      <c r="Q97" s="61"/>
      <c r="R97" s="61"/>
      <c r="S97" s="55"/>
    </row>
    <row r="98" spans="1:19" ht="50.1" customHeight="1">
      <c r="A98" s="61"/>
      <c r="B98" s="55"/>
      <c r="C98" s="61"/>
      <c r="D98" s="12">
        <f>IF( ISERROR(VLOOKUP(ROW(C98)-9,T_MEDIDAS[],2,FALSE)), "", ROW(C98)-9 )</f>
        <v>89</v>
      </c>
      <c r="E98" s="12" t="str">
        <f>IF(D98="","",VLOOKUP(D98,T_MEDIDAS[],2,FALSE))</f>
        <v>Medida 66</v>
      </c>
      <c r="F98" s="17" t="str">
        <f>IF(D98="","",VLOOKUP(D98,T_MEDIDAS[],3,FALSE))</f>
        <v>Respuesta inmediata</v>
      </c>
      <c r="G98" s="17" t="str">
        <f>IF(D98="","",VLOOKUP(D98,T_MEDIDAS[],6,FALSE))</f>
        <v>Cesión temporal de aires acondicionados móviles para grupos de población más vulnerable mediante convenios y acuerdos</v>
      </c>
      <c r="H98" s="24">
        <f>IF(D98="","",VLOOKUP(D98,T_MEDIDAS[],21,FALSE))</f>
        <v>2</v>
      </c>
      <c r="I98" s="24" t="str">
        <f>IF(D98="","",VLOOKUP(D98,T_MEDIDAS[],11,FALSE))</f>
        <v>€</v>
      </c>
      <c r="J98" s="45" t="str">
        <f>IF(D98="","",MID(VLOOKUP(D98,T_MEDIDAS[],20,FALSE),FIND(". ",VLOOKUP(D98,T_MEDIDAS[],20,FALSE))+2,FIND(" (",VLOOKUP(D98,T_MEDIDAS[],20,FALSE))-FIND(".",VLOOKUP(D98,T_MEDIDAS[],20,FALSE))-2))</f>
        <v>Alto</v>
      </c>
      <c r="K98" s="50">
        <f>IF(D98="","",VLOOKUP(D98,T_MEDIDAS[],66,FALSE))</f>
        <v>175.00000066000001</v>
      </c>
      <c r="L98" s="61"/>
      <c r="M98" s="61"/>
      <c r="N98" s="61"/>
      <c r="O98" s="61"/>
      <c r="P98" s="61"/>
      <c r="Q98" s="61"/>
      <c r="R98" s="61"/>
      <c r="S98" s="55"/>
    </row>
    <row r="99" spans="1:19" ht="50.1" customHeight="1">
      <c r="A99" s="61"/>
      <c r="B99" s="55"/>
      <c r="C99" s="61"/>
      <c r="D99" s="18">
        <f>IF( ISERROR(VLOOKUP(ROW(C99)-9,T_MEDIDAS[],2,FALSE)), "", ROW(C99)-9 )</f>
        <v>90</v>
      </c>
      <c r="E99" s="18" t="str">
        <f>IF(D99="","",VLOOKUP(D99,T_MEDIDAS[],2,FALSE))</f>
        <v>Medida 46</v>
      </c>
      <c r="F99" s="13" t="str">
        <f>IF(D99="","",VLOOKUP(D99,T_MEDIDAS[],3,FALSE))</f>
        <v>Prevención</v>
      </c>
      <c r="G99" s="13" t="str">
        <f>IF(D99="","",VLOOKUP(D99,T_MEDIDAS[],6,FALSE))</f>
        <v>Identificación y promoción de recursos y productos turísticos adaptados a las condiciones climáticas durante olas de calor</v>
      </c>
      <c r="H99" s="25">
        <f>IF(D99="","",VLOOKUP(D99,T_MEDIDAS[],21,FALSE))</f>
        <v>1</v>
      </c>
      <c r="I99" s="25" t="str">
        <f>IF(D99="","",VLOOKUP(D99,T_MEDIDAS[],11,FALSE))</f>
        <v>€</v>
      </c>
      <c r="J99" s="46" t="str">
        <f>IF(D99="","",MID(VLOOKUP(D99,T_MEDIDAS[],20,FALSE),FIND(". ",VLOOKUP(D99,T_MEDIDAS[],20,FALSE))+2,FIND(" (",VLOOKUP(D99,T_MEDIDAS[],20,FALSE))-FIND(".",VLOOKUP(D99,T_MEDIDAS[],20,FALSE))-2))</f>
        <v>Sin Riesgo</v>
      </c>
      <c r="K99" s="51">
        <f>IF(D99="","",VLOOKUP(D99,T_MEDIDAS[],66,FALSE))</f>
        <v>175.00000046</v>
      </c>
      <c r="L99" s="61"/>
      <c r="M99" s="61"/>
      <c r="N99" s="61"/>
      <c r="O99" s="61"/>
      <c r="P99" s="61"/>
      <c r="Q99" s="61"/>
      <c r="R99" s="61"/>
      <c r="S99" s="55"/>
    </row>
    <row r="100" spans="1:19" ht="50.1" customHeight="1">
      <c r="A100" s="61"/>
      <c r="B100" s="55"/>
      <c r="C100" s="61"/>
      <c r="D100" s="12">
        <f>IF( ISERROR(VLOOKUP(ROW(C100)-9,T_MEDIDAS[],2,FALSE)), "", ROW(C100)-9 )</f>
        <v>91</v>
      </c>
      <c r="E100" s="12" t="str">
        <f>IF(D100="","",VLOOKUP(D100,T_MEDIDAS[],2,FALSE))</f>
        <v>Medida 38</v>
      </c>
      <c r="F100" s="17" t="str">
        <f>IF(D100="","",VLOOKUP(D100,T_MEDIDAS[],3,FALSE))</f>
        <v>Prevención</v>
      </c>
      <c r="G100" s="17" t="str">
        <f>IF(D100="","",VLOOKUP(D100,T_MEDIDAS[],6,FALSE))</f>
        <v>Caracterización de edificios y equipamientos públicos: identificación de puntos de acumulación de calor (sol directo en momentos centrales del día, sin elementos de protección, últimas plantas, etc.), y de puntos más frescos (zonas de sombra, estancias con mayor ventilación, etc.)</v>
      </c>
      <c r="H100" s="24">
        <f>IF(D100="","",VLOOKUP(D100,T_MEDIDAS[],21,FALSE))</f>
        <v>4</v>
      </c>
      <c r="I100" s="24" t="str">
        <f>IF(D100="","",VLOOKUP(D100,T_MEDIDAS[],11,FALSE))</f>
        <v>€</v>
      </c>
      <c r="J100" s="45" t="str">
        <f>IF(D100="","",MID(VLOOKUP(D100,T_MEDIDAS[],20,FALSE),FIND(". ",VLOOKUP(D100,T_MEDIDAS[],20,FALSE))+2,FIND(" (",VLOOKUP(D100,T_MEDIDAS[],20,FALSE))-FIND(".",VLOOKUP(D100,T_MEDIDAS[],20,FALSE))-2))</f>
        <v>Sin Riesgo</v>
      </c>
      <c r="K100" s="50">
        <f>IF(D100="","",VLOOKUP(D100,T_MEDIDAS[],66,FALSE))</f>
        <v>175.00000038000002</v>
      </c>
      <c r="L100" s="61"/>
      <c r="M100" s="61"/>
      <c r="N100" s="61"/>
      <c r="O100" s="61"/>
      <c r="P100" s="61"/>
      <c r="Q100" s="61"/>
      <c r="R100" s="61"/>
      <c r="S100" s="55"/>
    </row>
    <row r="101" spans="1:19" ht="50.1" customHeight="1">
      <c r="A101" s="61"/>
      <c r="B101" s="55"/>
      <c r="C101" s="61"/>
      <c r="D101" s="18">
        <f>IF( ISERROR(VLOOKUP(ROW(C101)-9,T_MEDIDAS[],2,FALSE)), "", ROW(C101)-9 )</f>
        <v>92</v>
      </c>
      <c r="E101" s="18" t="str">
        <f>IF(D101="","",VLOOKUP(D101,T_MEDIDAS[],2,FALSE))</f>
        <v>Medida 37</v>
      </c>
      <c r="F101" s="13" t="str">
        <f>IF(D101="","",VLOOKUP(D101,T_MEDIDAS[],3,FALSE))</f>
        <v>Prevención</v>
      </c>
      <c r="G101" s="13" t="str">
        <f>IF(D101="","",VLOOKUP(D101,T_MEDIDAS[],6,FALSE))</f>
        <v>Identificación de lugares donde trasladar actividades que normalmente se organizan en el exterior, aledaños y accesibles (bibliotecas, museos, polideportivos, etc.) para realización de actividades alternativas</v>
      </c>
      <c r="H101" s="25">
        <f>IF(D101="","",VLOOKUP(D101,T_MEDIDAS[],21,FALSE))</f>
        <v>2</v>
      </c>
      <c r="I101" s="25" t="str">
        <f>IF(D101="","",VLOOKUP(D101,T_MEDIDAS[],11,FALSE))</f>
        <v>€</v>
      </c>
      <c r="J101" s="46" t="str">
        <f>IF(D101="","",MID(VLOOKUP(D101,T_MEDIDAS[],20,FALSE),FIND(". ",VLOOKUP(D101,T_MEDIDAS[],20,FALSE))+2,FIND(" (",VLOOKUP(D101,T_MEDIDAS[],20,FALSE))-FIND(".",VLOOKUP(D101,T_MEDIDAS[],20,FALSE))-2))</f>
        <v>Sin Riesgo</v>
      </c>
      <c r="K101" s="51">
        <f>IF(D101="","",VLOOKUP(D101,T_MEDIDAS[],66,FALSE))</f>
        <v>175.00000037000001</v>
      </c>
      <c r="L101" s="61"/>
      <c r="M101" s="61"/>
      <c r="N101" s="61"/>
      <c r="O101" s="61"/>
      <c r="P101" s="61"/>
      <c r="Q101" s="61"/>
      <c r="R101" s="61"/>
      <c r="S101" s="55"/>
    </row>
    <row r="102" spans="1:19" ht="50.1" customHeight="1">
      <c r="A102" s="61"/>
      <c r="B102" s="55"/>
      <c r="C102" s="61"/>
      <c r="D102" s="12">
        <f>IF( ISERROR(VLOOKUP(ROW(C102)-9,T_MEDIDAS[],2,FALSE)), "", ROW(C102)-9 )</f>
        <v>93</v>
      </c>
      <c r="E102" s="12" t="str">
        <f>IF(D102="","",VLOOKUP(D102,T_MEDIDAS[],2,FALSE))</f>
        <v>Medida 35</v>
      </c>
      <c r="F102" s="17" t="str">
        <f>IF(D102="","",VLOOKUP(D102,T_MEDIDAS[],3,FALSE))</f>
        <v>Prevención</v>
      </c>
      <c r="G102" s="17" t="str">
        <f>IF(D102="","",VLOOKUP(D102,T_MEDIDAS[],6,FALSE))</f>
        <v>Diagnóstico específico de la situación climática de las personas que viven en asentamientos segregados o infraviviendas</v>
      </c>
      <c r="H102" s="24">
        <f>IF(D102="","",VLOOKUP(D102,T_MEDIDAS[],21,FALSE))</f>
        <v>1</v>
      </c>
      <c r="I102" s="24" t="str">
        <f>IF(D102="","",VLOOKUP(D102,T_MEDIDAS[],11,FALSE))</f>
        <v>€</v>
      </c>
      <c r="J102" s="45" t="str">
        <f>IF(D102="","",MID(VLOOKUP(D102,T_MEDIDAS[],20,FALSE),FIND(". ",VLOOKUP(D102,T_MEDIDAS[],20,FALSE))+2,FIND(" (",VLOOKUP(D102,T_MEDIDAS[],20,FALSE))-FIND(".",VLOOKUP(D102,T_MEDIDAS[],20,FALSE))-2))</f>
        <v>Sin Riesgo</v>
      </c>
      <c r="K102" s="50">
        <f>IF(D102="","",VLOOKUP(D102,T_MEDIDAS[],66,FALSE))</f>
        <v>175.00000034999999</v>
      </c>
      <c r="L102" s="61"/>
      <c r="M102" s="61"/>
      <c r="N102" s="61"/>
      <c r="O102" s="61"/>
      <c r="P102" s="61"/>
      <c r="Q102" s="61"/>
      <c r="R102" s="61"/>
      <c r="S102" s="55"/>
    </row>
    <row r="103" spans="1:19" ht="50.1" customHeight="1">
      <c r="A103" s="61"/>
      <c r="B103" s="55"/>
      <c r="C103" s="61"/>
      <c r="D103" s="18">
        <f>IF( ISERROR(VLOOKUP(ROW(C103)-9,T_MEDIDAS[],2,FALSE)), "", ROW(C103)-9 )</f>
        <v>94</v>
      </c>
      <c r="E103" s="18" t="str">
        <f>IF(D103="","",VLOOKUP(D103,T_MEDIDAS[],2,FALSE))</f>
        <v>Medida 34</v>
      </c>
      <c r="F103" s="13" t="str">
        <f>IF(D103="","",VLOOKUP(D103,T_MEDIDAS[],3,FALSE))</f>
        <v>Prevención</v>
      </c>
      <c r="G103" s="13" t="str">
        <f>IF(D103="","",VLOOKUP(D103,T_MEDIDAS[],6,FALSE))</f>
        <v xml:space="preserve">Incremento de las ayudas públicas para rehabilitación energética de viviendas, destinadas a la población más vulnerable </v>
      </c>
      <c r="H103" s="25">
        <f>IF(D103="","",VLOOKUP(D103,T_MEDIDAS[],21,FALSE))</f>
        <v>2</v>
      </c>
      <c r="I103" s="25" t="str">
        <f>IF(D103="","",VLOOKUP(D103,T_MEDIDAS[],11,FALSE))</f>
        <v>€€€</v>
      </c>
      <c r="J103" s="46" t="str">
        <f>IF(D103="","",MID(VLOOKUP(D103,T_MEDIDAS[],20,FALSE),FIND(". ",VLOOKUP(D103,T_MEDIDAS[],20,FALSE))+2,FIND(" (",VLOOKUP(D103,T_MEDIDAS[],20,FALSE))-FIND(".",VLOOKUP(D103,T_MEDIDAS[],20,FALSE))-2))</f>
        <v>Sin Riesgo</v>
      </c>
      <c r="K103" s="51">
        <f>IF(D103="","",VLOOKUP(D103,T_MEDIDAS[],66,FALSE))</f>
        <v>175.00000034000001</v>
      </c>
      <c r="L103" s="61"/>
      <c r="M103" s="61"/>
      <c r="N103" s="61"/>
      <c r="O103" s="61"/>
      <c r="P103" s="61"/>
      <c r="Q103" s="61"/>
      <c r="R103" s="61"/>
      <c r="S103" s="55"/>
    </row>
    <row r="104" spans="1:19" ht="50.1" customHeight="1">
      <c r="A104" s="61"/>
      <c r="B104" s="55"/>
      <c r="C104" s="61"/>
      <c r="D104" s="12">
        <f>IF( ISERROR(VLOOKUP(ROW(C104)-9,T_MEDIDAS[],2,FALSE)), "", ROW(C104)-9 )</f>
        <v>95</v>
      </c>
      <c r="E104" s="12" t="str">
        <f>IF(D104="","",VLOOKUP(D104,T_MEDIDAS[],2,FALSE))</f>
        <v>Medida 32</v>
      </c>
      <c r="F104" s="17" t="str">
        <f>IF(D104="","",VLOOKUP(D104,T_MEDIDAS[],3,FALSE))</f>
        <v>Prevención</v>
      </c>
      <c r="G104" s="17" t="str">
        <f>IF(D104="","",VLOOKUP(D104,T_MEDIDAS[],6,FALSE))</f>
        <v>Aumento de marquesinas en paradas de autobuses</v>
      </c>
      <c r="H104" s="24">
        <f>IF(D104="","",VLOOKUP(D104,T_MEDIDAS[],21,FALSE))</f>
        <v>1</v>
      </c>
      <c r="I104" s="24" t="str">
        <f>IF(D104="","",VLOOKUP(D104,T_MEDIDAS[],11,FALSE))</f>
        <v>€€</v>
      </c>
      <c r="J104" s="45" t="str">
        <f>IF(D104="","",MID(VLOOKUP(D104,T_MEDIDAS[],20,FALSE),FIND(". ",VLOOKUP(D104,T_MEDIDAS[],20,FALSE))+2,FIND(" (",VLOOKUP(D104,T_MEDIDAS[],20,FALSE))-FIND(".",VLOOKUP(D104,T_MEDIDAS[],20,FALSE))-2))</f>
        <v>Sin Riesgo</v>
      </c>
      <c r="K104" s="50">
        <f>IF(D104="","",VLOOKUP(D104,T_MEDIDAS[],66,FALSE))</f>
        <v>175.00000032</v>
      </c>
      <c r="L104" s="61"/>
      <c r="M104" s="61"/>
      <c r="N104" s="61"/>
      <c r="O104" s="61"/>
      <c r="P104" s="61"/>
      <c r="Q104" s="61"/>
      <c r="R104" s="61"/>
      <c r="S104" s="55"/>
    </row>
    <row r="105" spans="1:19" ht="50.1" customHeight="1">
      <c r="A105" s="61"/>
      <c r="B105" s="55"/>
      <c r="C105" s="61"/>
      <c r="D105" s="18">
        <f>IF( ISERROR(VLOOKUP(ROW(C105)-9,T_MEDIDAS[],2,FALSE)), "", ROW(C105)-9 )</f>
        <v>96</v>
      </c>
      <c r="E105" s="18" t="str">
        <f>IF(D105="","",VLOOKUP(D105,T_MEDIDAS[],2,FALSE))</f>
        <v>Medida 31</v>
      </c>
      <c r="F105" s="13" t="str">
        <f>IF(D105="","",VLOOKUP(D105,T_MEDIDAS[],3,FALSE))</f>
        <v>Prevención</v>
      </c>
      <c r="G105" s="13" t="str">
        <f>IF(D105="","",VLOOKUP(D105,T_MEDIDAS[],6,FALSE))</f>
        <v>Comprobaciones periódicas del funcionamiento de equipos de climatización a bordo de los vehículos de transporte público y de los intercambiadores de transporte</v>
      </c>
      <c r="H105" s="25">
        <f>IF(D105="","",VLOOKUP(D105,T_MEDIDAS[],21,FALSE))</f>
        <v>1</v>
      </c>
      <c r="I105" s="25" t="str">
        <f>IF(D105="","",VLOOKUP(D105,T_MEDIDAS[],11,FALSE))</f>
        <v>€</v>
      </c>
      <c r="J105" s="46" t="str">
        <f>IF(D105="","",MID(VLOOKUP(D105,T_MEDIDAS[],20,FALSE),FIND(". ",VLOOKUP(D105,T_MEDIDAS[],20,FALSE))+2,FIND(" (",VLOOKUP(D105,T_MEDIDAS[],20,FALSE))-FIND(".",VLOOKUP(D105,T_MEDIDAS[],20,FALSE))-2))</f>
        <v>Sin Riesgo</v>
      </c>
      <c r="K105" s="51">
        <f>IF(D105="","",VLOOKUP(D105,T_MEDIDAS[],66,FALSE))</f>
        <v>175.00000030999999</v>
      </c>
      <c r="L105" s="61"/>
      <c r="M105" s="61"/>
      <c r="N105" s="61"/>
      <c r="O105" s="61"/>
      <c r="P105" s="61"/>
      <c r="Q105" s="61"/>
      <c r="R105" s="61"/>
      <c r="S105" s="55"/>
    </row>
    <row r="106" spans="1:19" ht="50.1" customHeight="1">
      <c r="A106" s="61"/>
      <c r="B106" s="55"/>
      <c r="C106" s="61"/>
      <c r="D106" s="12">
        <f>IF( ISERROR(VLOOKUP(ROW(C106)-9,T_MEDIDAS[],2,FALSE)), "", ROW(C106)-9 )</f>
        <v>97</v>
      </c>
      <c r="E106" s="12" t="str">
        <f>IF(D106="","",VLOOKUP(D106,T_MEDIDAS[],2,FALSE))</f>
        <v>Medida 27</v>
      </c>
      <c r="F106" s="17" t="str">
        <f>IF(D106="","",VLOOKUP(D106,T_MEDIDAS[],3,FALSE))</f>
        <v>Prevención</v>
      </c>
      <c r="G106" s="17" t="str">
        <f>IF(D106="","",VLOOKUP(D106,T_MEDIDAS[],6,FALSE))</f>
        <v>Aprobación de cláusula ad hoc que demande la necesidad de disponer de un plan de ajuste al calor extremo en licitaciones</v>
      </c>
      <c r="H106" s="24">
        <f>IF(D106="","",VLOOKUP(D106,T_MEDIDAS[],21,FALSE))</f>
        <v>1</v>
      </c>
      <c r="I106" s="24" t="str">
        <f>IF(D106="","",VLOOKUP(D106,T_MEDIDAS[],11,FALSE))</f>
        <v>€</v>
      </c>
      <c r="J106" s="45" t="str">
        <f>IF(D106="","",MID(VLOOKUP(D106,T_MEDIDAS[],20,FALSE),FIND(". ",VLOOKUP(D106,T_MEDIDAS[],20,FALSE))+2,FIND(" (",VLOOKUP(D106,T_MEDIDAS[],20,FALSE))-FIND(".",VLOOKUP(D106,T_MEDIDAS[],20,FALSE))-2))</f>
        <v>Sin Riesgo</v>
      </c>
      <c r="K106" s="50">
        <f>IF(D106="","",VLOOKUP(D106,T_MEDIDAS[],66,FALSE))</f>
        <v>175.00000026999999</v>
      </c>
      <c r="L106" s="61"/>
      <c r="M106" s="61"/>
      <c r="N106" s="61"/>
      <c r="O106" s="61"/>
      <c r="P106" s="61"/>
      <c r="Q106" s="61"/>
      <c r="R106" s="61"/>
      <c r="S106" s="55"/>
    </row>
    <row r="107" spans="1:19" ht="50.1" customHeight="1">
      <c r="A107" s="61"/>
      <c r="B107" s="55"/>
      <c r="C107" s="61"/>
      <c r="D107" s="18">
        <f>IF( ISERROR(VLOOKUP(ROW(C107)-9,T_MEDIDAS[],2,FALSE)), "", ROW(C107)-9 )</f>
        <v>98</v>
      </c>
      <c r="E107" s="18" t="str">
        <f>IF(D107="","",VLOOKUP(D107,T_MEDIDAS[],2,FALSE))</f>
        <v>Medida 25</v>
      </c>
      <c r="F107" s="13" t="str">
        <f>IF(D107="","",VLOOKUP(D107,T_MEDIDAS[],3,FALSE))</f>
        <v>Prevención</v>
      </c>
      <c r="G107" s="13" t="str">
        <f>IF(D107="","",VLOOKUP(D107,T_MEDIDAS[],6,FALSE))</f>
        <v>Instalación de sombreado estacional entre fachadas de edificios</v>
      </c>
      <c r="H107" s="25">
        <f>IF(D107="","",VLOOKUP(D107,T_MEDIDAS[],21,FALSE))</f>
        <v>1</v>
      </c>
      <c r="I107" s="25" t="str">
        <f>IF(D107="","",VLOOKUP(D107,T_MEDIDAS[],11,FALSE))</f>
        <v>€€€</v>
      </c>
      <c r="J107" s="46" t="str">
        <f>IF(D107="","",MID(VLOOKUP(D107,T_MEDIDAS[],20,FALSE),FIND(". ",VLOOKUP(D107,T_MEDIDAS[],20,FALSE))+2,FIND(" (",VLOOKUP(D107,T_MEDIDAS[],20,FALSE))-FIND(".",VLOOKUP(D107,T_MEDIDAS[],20,FALSE))-2))</f>
        <v>Bajo</v>
      </c>
      <c r="K107" s="51">
        <f>IF(D107="","",VLOOKUP(D107,T_MEDIDAS[],66,FALSE))</f>
        <v>175.00000025</v>
      </c>
      <c r="L107" s="61"/>
      <c r="M107" s="61"/>
      <c r="N107" s="61"/>
      <c r="O107" s="61"/>
      <c r="P107" s="61"/>
      <c r="Q107" s="61"/>
      <c r="R107" s="61"/>
      <c r="S107" s="55"/>
    </row>
    <row r="108" spans="1:19" ht="50.1" customHeight="1">
      <c r="A108" s="61"/>
      <c r="B108" s="55"/>
      <c r="C108" s="61"/>
      <c r="D108" s="12">
        <f>IF( ISERROR(VLOOKUP(ROW(C108)-9,T_MEDIDAS[],2,FALSE)), "", ROW(C108)-9 )</f>
        <v>99</v>
      </c>
      <c r="E108" s="12" t="str">
        <f>IF(D108="","",VLOOKUP(D108,T_MEDIDAS[],2,FALSE))</f>
        <v>Medida 24</v>
      </c>
      <c r="F108" s="17" t="str">
        <f>IF(D108="","",VLOOKUP(D108,T_MEDIDAS[],3,FALSE))</f>
        <v>Prevención</v>
      </c>
      <c r="G108" s="17" t="str">
        <f>IF(D108="","",VLOOKUP(D108,T_MEDIDAS[],6,FALSE))</f>
        <v>Renaturalización de patios escolares</v>
      </c>
      <c r="H108" s="24">
        <f>IF(D108="","",VLOOKUP(D108,T_MEDIDAS[],21,FALSE))</f>
        <v>2</v>
      </c>
      <c r="I108" s="24" t="str">
        <f>IF(D108="","",VLOOKUP(D108,T_MEDIDAS[],11,FALSE))</f>
        <v>€€€</v>
      </c>
      <c r="J108" s="45" t="str">
        <f>IF(D108="","",MID(VLOOKUP(D108,T_MEDIDAS[],20,FALSE),FIND(". ",VLOOKUP(D108,T_MEDIDAS[],20,FALSE))+2,FIND(" (",VLOOKUP(D108,T_MEDIDAS[],20,FALSE))-FIND(".",VLOOKUP(D108,T_MEDIDAS[],20,FALSE))-2))</f>
        <v>Sin Riesgo</v>
      </c>
      <c r="K108" s="50">
        <f>IF(D108="","",VLOOKUP(D108,T_MEDIDAS[],66,FALSE))</f>
        <v>175.00000023999999</v>
      </c>
      <c r="L108" s="61"/>
      <c r="M108" s="61"/>
      <c r="N108" s="61"/>
      <c r="O108" s="61"/>
      <c r="P108" s="61"/>
      <c r="Q108" s="61"/>
      <c r="R108" s="61"/>
      <c r="S108" s="55"/>
    </row>
    <row r="109" spans="1:19" ht="50.1" customHeight="1">
      <c r="A109" s="61"/>
      <c r="B109" s="55"/>
      <c r="C109" s="61"/>
      <c r="D109" s="18">
        <f>IF( ISERROR(VLOOKUP(ROW(C109)-9,T_MEDIDAS[],2,FALSE)), "", ROW(C109)-9 )</f>
        <v>100</v>
      </c>
      <c r="E109" s="18" t="str">
        <f>IF(D109="","",VLOOKUP(D109,T_MEDIDAS[],2,FALSE))</f>
        <v>Medida 21</v>
      </c>
      <c r="F109" s="13" t="str">
        <f>IF(D109="","",VLOOKUP(D109,T_MEDIDAS[],3,FALSE))</f>
        <v>Prevención</v>
      </c>
      <c r="G109" s="13" t="str">
        <f>IF(D109="","",VLOOKUP(D109,T_MEDIDAS[],6,FALSE))</f>
        <v>Instalación de pavimentos reflectantes, para reducir la temperatura superficial del suelo y la ambiental.</v>
      </c>
      <c r="H109" s="25">
        <f>IF(D109="","",VLOOKUP(D109,T_MEDIDAS[],21,FALSE))</f>
        <v>1</v>
      </c>
      <c r="I109" s="25" t="str">
        <f>IF(D109="","",VLOOKUP(D109,T_MEDIDAS[],11,FALSE))</f>
        <v>€€€</v>
      </c>
      <c r="J109" s="46" t="str">
        <f>IF(D109="","",MID(VLOOKUP(D109,T_MEDIDAS[],20,FALSE),FIND(". ",VLOOKUP(D109,T_MEDIDAS[],20,FALSE))+2,FIND(" (",VLOOKUP(D109,T_MEDIDAS[],20,FALSE))-FIND(".",VLOOKUP(D109,T_MEDIDAS[],20,FALSE))-2))</f>
        <v>Sin Riesgo</v>
      </c>
      <c r="K109" s="51">
        <f>IF(D109="","",VLOOKUP(D109,T_MEDIDAS[],66,FALSE))</f>
        <v>175.00000021</v>
      </c>
      <c r="L109" s="61"/>
      <c r="M109" s="61"/>
      <c r="N109" s="61"/>
      <c r="O109" s="61"/>
      <c r="P109" s="61"/>
      <c r="Q109" s="61"/>
      <c r="R109" s="61"/>
      <c r="S109" s="55"/>
    </row>
    <row r="110" spans="1:19" ht="50.1" customHeight="1">
      <c r="A110" s="61"/>
      <c r="B110" s="55"/>
      <c r="C110" s="61"/>
      <c r="D110" s="12">
        <f>IF( ISERROR(VLOOKUP(ROW(C110)-9,T_MEDIDAS[],2,FALSE)), "", ROW(C110)-9 )</f>
        <v>101</v>
      </c>
      <c r="E110" s="12" t="str">
        <f>IF(D110="","",VLOOKUP(D110,T_MEDIDAS[],2,FALSE))</f>
        <v>Medida 19</v>
      </c>
      <c r="F110" s="17" t="str">
        <f>IF(D110="","",VLOOKUP(D110,T_MEDIDAS[],3,FALSE))</f>
        <v>Prevención</v>
      </c>
      <c r="G110" s="17" t="str">
        <f>IF(D110="","",VLOOKUP(D110,T_MEDIDAS[],6,FALSE))</f>
        <v>Transformación de solares abandonados en zonas verdes en los barrios más vulnerables a las olas de calor</v>
      </c>
      <c r="H110" s="24">
        <f>IF(D110="","",VLOOKUP(D110,T_MEDIDAS[],21,FALSE))</f>
        <v>2</v>
      </c>
      <c r="I110" s="24" t="str">
        <f>IF(D110="","",VLOOKUP(D110,T_MEDIDAS[],11,FALSE))</f>
        <v>€€€</v>
      </c>
      <c r="J110" s="45" t="str">
        <f>IF(D110="","",MID(VLOOKUP(D110,T_MEDIDAS[],20,FALSE),FIND(". ",VLOOKUP(D110,T_MEDIDAS[],20,FALSE))+2,FIND(" (",VLOOKUP(D110,T_MEDIDAS[],20,FALSE))-FIND(".",VLOOKUP(D110,T_MEDIDAS[],20,FALSE))-2))</f>
        <v>Sin Riesgo</v>
      </c>
      <c r="K110" s="50">
        <f>IF(D110="","",VLOOKUP(D110,T_MEDIDAS[],66,FALSE))</f>
        <v>175.00000018999998</v>
      </c>
      <c r="L110" s="61"/>
      <c r="M110" s="61"/>
      <c r="N110" s="61"/>
      <c r="O110" s="61"/>
      <c r="P110" s="61"/>
      <c r="Q110" s="61"/>
      <c r="R110" s="61"/>
      <c r="S110" s="55"/>
    </row>
    <row r="111" spans="1:19" ht="50.1" customHeight="1">
      <c r="A111" s="61"/>
      <c r="B111" s="55"/>
      <c r="C111" s="61"/>
      <c r="D111" s="18">
        <f>IF( ISERROR(VLOOKUP(ROW(C111)-9,T_MEDIDAS[],2,FALSE)), "", ROW(C111)-9 )</f>
        <v>102</v>
      </c>
      <c r="E111" s="18" t="str">
        <f>IF(D111="","",VLOOKUP(D111,T_MEDIDAS[],2,FALSE))</f>
        <v>Medida 17</v>
      </c>
      <c r="F111" s="13" t="str">
        <f>IF(D111="","",VLOOKUP(D111,T_MEDIDAS[],3,FALSE))</f>
        <v>Prevención</v>
      </c>
      <c r="G111" s="13" t="str">
        <f>IF(D111="","",VLOOKUP(D111,T_MEDIDAS[],6,FALSE))</f>
        <v>Plantación de arbolado urbano para aumento de la cubierta arbórea en alineaciones de calles desprovistas de sombra</v>
      </c>
      <c r="H111" s="25">
        <f>IF(D111="","",VLOOKUP(D111,T_MEDIDAS[],21,FALSE))</f>
        <v>1</v>
      </c>
      <c r="I111" s="25" t="str">
        <f>IF(D111="","",VLOOKUP(D111,T_MEDIDAS[],11,FALSE))</f>
        <v>€€€</v>
      </c>
      <c r="J111" s="46" t="str">
        <f>IF(D111="","",MID(VLOOKUP(D111,T_MEDIDAS[],20,FALSE),FIND(". ",VLOOKUP(D111,T_MEDIDAS[],20,FALSE))+2,FIND(" (",VLOOKUP(D111,T_MEDIDAS[],20,FALSE))-FIND(".",VLOOKUP(D111,T_MEDIDAS[],20,FALSE))-2))</f>
        <v>Sin Riesgo</v>
      </c>
      <c r="K111" s="51">
        <f>IF(D111="","",VLOOKUP(D111,T_MEDIDAS[],66,FALSE))</f>
        <v>175.00000016999999</v>
      </c>
      <c r="L111" s="61"/>
      <c r="M111" s="61"/>
      <c r="N111" s="61"/>
      <c r="O111" s="61"/>
      <c r="P111" s="61"/>
      <c r="Q111" s="61"/>
      <c r="R111" s="61"/>
      <c r="S111" s="55"/>
    </row>
    <row r="112" spans="1:19" ht="50.1" customHeight="1">
      <c r="A112" s="61"/>
      <c r="B112" s="55"/>
      <c r="C112" s="61"/>
      <c r="D112" s="12">
        <f>IF( ISERROR(VLOOKUP(ROW(C112)-9,T_MEDIDAS[],2,FALSE)), "", ROW(C112)-9 )</f>
        <v>103</v>
      </c>
      <c r="E112" s="12" t="str">
        <f>IF(D112="","",VLOOKUP(D112,T_MEDIDAS[],2,FALSE))</f>
        <v>Medida 12</v>
      </c>
      <c r="F112" s="17" t="str">
        <f>IF(D112="","",VLOOKUP(D112,T_MEDIDAS[],3,FALSE))</f>
        <v>Prevención</v>
      </c>
      <c r="G112" s="17" t="str">
        <f>IF(D112="","",VLOOKUP(D112,T_MEDIDAS[],6,FALSE))</f>
        <v>Repintado blanco en tejados de guarderías, escuelas, bibliotecas y centros deportivos públicos</v>
      </c>
      <c r="H112" s="24">
        <f>IF(D112="","",VLOOKUP(D112,T_MEDIDAS[],21,FALSE))</f>
        <v>3</v>
      </c>
      <c r="I112" s="24" t="str">
        <f>IF(D112="","",VLOOKUP(D112,T_MEDIDAS[],11,FALSE))</f>
        <v>€€</v>
      </c>
      <c r="J112" s="45" t="str">
        <f>IF(D112="","",MID(VLOOKUP(D112,T_MEDIDAS[],20,FALSE),FIND(". ",VLOOKUP(D112,T_MEDIDAS[],20,FALSE))+2,FIND(" (",VLOOKUP(D112,T_MEDIDAS[],20,FALSE))-FIND(".",VLOOKUP(D112,T_MEDIDAS[],20,FALSE))-2))</f>
        <v>Sin Riesgo</v>
      </c>
      <c r="K112" s="50">
        <f>IF(D112="","",VLOOKUP(D112,T_MEDIDAS[],66,FALSE))</f>
        <v>175.00000012000001</v>
      </c>
      <c r="L112" s="61"/>
      <c r="M112" s="61"/>
      <c r="N112" s="61"/>
      <c r="O112" s="61"/>
      <c r="P112" s="61"/>
      <c r="Q112" s="61"/>
      <c r="R112" s="61"/>
      <c r="S112" s="55"/>
    </row>
    <row r="113" spans="1:19" ht="50.1" customHeight="1">
      <c r="A113" s="61"/>
      <c r="B113" s="55"/>
      <c r="C113" s="61"/>
      <c r="D113" s="18">
        <f>IF( ISERROR(VLOOKUP(ROW(C113)-9,T_MEDIDAS[],2,FALSE)), "", ROW(C113)-9 )</f>
        <v>104</v>
      </c>
      <c r="E113" s="18" t="str">
        <f>IF(D113="","",VLOOKUP(D113,T_MEDIDAS[],2,FALSE))</f>
        <v>Medida 5</v>
      </c>
      <c r="F113" s="13" t="str">
        <f>IF(D113="","",VLOOKUP(D113,T_MEDIDAS[],3,FALSE))</f>
        <v>Prevención</v>
      </c>
      <c r="G113" s="13" t="str">
        <f>IF(D113="","",VLOOKUP(D113,T_MEDIDAS[],6,FALSE))</f>
        <v>Elaboración de un Plan de Sombras y Zonas Arboladas</v>
      </c>
      <c r="H113" s="25">
        <f>IF(D113="","",VLOOKUP(D113,T_MEDIDAS[],21,FALSE))</f>
        <v>2</v>
      </c>
      <c r="I113" s="25" t="str">
        <f>IF(D113="","",VLOOKUP(D113,T_MEDIDAS[],11,FALSE))</f>
        <v>€</v>
      </c>
      <c r="J113" s="46" t="str">
        <f>IF(D113="","",MID(VLOOKUP(D113,T_MEDIDAS[],20,FALSE),FIND(". ",VLOOKUP(D113,T_MEDIDAS[],20,FALSE))+2,FIND(" (",VLOOKUP(D113,T_MEDIDAS[],20,FALSE))-FIND(".",VLOOKUP(D113,T_MEDIDAS[],20,FALSE))-2))</f>
        <v>Sin Riesgo</v>
      </c>
      <c r="K113" s="51">
        <f>IF(D113="","",VLOOKUP(D113,T_MEDIDAS[],66,FALSE))</f>
        <v>175.00000005000001</v>
      </c>
      <c r="L113" s="61"/>
      <c r="M113" s="61"/>
      <c r="N113" s="61"/>
      <c r="O113" s="61"/>
      <c r="P113" s="61"/>
      <c r="Q113" s="61"/>
      <c r="R113" s="61"/>
      <c r="S113" s="55"/>
    </row>
    <row r="114" spans="1:19" ht="50.1" customHeight="1">
      <c r="A114" s="61"/>
      <c r="B114" s="55"/>
      <c r="C114" s="61"/>
      <c r="D114" s="12">
        <f>IF( ISERROR(VLOOKUP(ROW(C114)-9,T_MEDIDAS[],2,FALSE)), "", ROW(C114)-9 )</f>
        <v>105</v>
      </c>
      <c r="E114" s="12" t="str">
        <f>IF(D114="","",VLOOKUP(D114,T_MEDIDAS[],2,FALSE))</f>
        <v>Medida 3</v>
      </c>
      <c r="F114" s="17" t="str">
        <f>IF(D114="","",VLOOKUP(D114,T_MEDIDAS[],3,FALSE))</f>
        <v>Prevención</v>
      </c>
      <c r="G114" s="17" t="str">
        <f>IF(D114="","",VLOOKUP(D114,T_MEDIDAS[],6,FALSE))</f>
        <v>Instalación de elementos de protección solar (toldos y estores) en fachadas de centros escolares expuestas al sol, y de pérgolas y velas en superficies expuestas</v>
      </c>
      <c r="H114" s="24">
        <f>IF(D114="","",VLOOKUP(D114,T_MEDIDAS[],21,FALSE))</f>
        <v>1</v>
      </c>
      <c r="I114" s="24" t="str">
        <f>IF(D114="","",VLOOKUP(D114,T_MEDIDAS[],11,FALSE))</f>
        <v>€€</v>
      </c>
      <c r="J114" s="45" t="str">
        <f>IF(D114="","",MID(VLOOKUP(D114,T_MEDIDAS[],20,FALSE),FIND(". ",VLOOKUP(D114,T_MEDIDAS[],20,FALSE))+2,FIND(" (",VLOOKUP(D114,T_MEDIDAS[],20,FALSE))-FIND(".",VLOOKUP(D114,T_MEDIDAS[],20,FALSE))-2))</f>
        <v>Bajo</v>
      </c>
      <c r="K114" s="50">
        <f>IF(D114="","",VLOOKUP(D114,T_MEDIDAS[],66,FALSE))</f>
        <v>175.00000003</v>
      </c>
      <c r="L114" s="61"/>
      <c r="M114" s="61"/>
      <c r="N114" s="61"/>
      <c r="O114" s="61"/>
      <c r="P114" s="61"/>
      <c r="Q114" s="61"/>
      <c r="R114" s="61"/>
      <c r="S114" s="55"/>
    </row>
    <row r="115" spans="1:19" ht="50.1" customHeight="1">
      <c r="A115" s="61"/>
      <c r="B115" s="55"/>
      <c r="C115" s="61"/>
      <c r="D115" s="18">
        <f>IF( ISERROR(VLOOKUP(ROW(C115)-9,T_MEDIDAS[],2,FALSE)), "", ROW(C115)-9 )</f>
        <v>106</v>
      </c>
      <c r="E115" s="18" t="str">
        <f>IF(D115="","",VLOOKUP(D115,T_MEDIDAS[],2,FALSE))</f>
        <v>Medida 1</v>
      </c>
      <c r="F115" s="13" t="str">
        <f>IF(D115="","",VLOOKUP(D115,T_MEDIDAS[],3,FALSE))</f>
        <v>Prevención</v>
      </c>
      <c r="G115" s="13" t="str">
        <f>IF(D115="","",VLOOKUP(D115,T_MEDIDAS[],6,FALSE))</f>
        <v>Establecimiento de calendarios de actividades turísticas y regulación de horarios adecuadas a la estación del año, con el fin de evitar riesgos en la salud de los turistas</v>
      </c>
      <c r="H115" s="25">
        <f>IF(D115="","",VLOOKUP(D115,T_MEDIDAS[],21,FALSE))</f>
        <v>1</v>
      </c>
      <c r="I115" s="25" t="str">
        <f>IF(D115="","",VLOOKUP(D115,T_MEDIDAS[],11,FALSE))</f>
        <v>€</v>
      </c>
      <c r="J115" s="46" t="str">
        <f>IF(D115="","",MID(VLOOKUP(D115,T_MEDIDAS[],20,FALSE),FIND(". ",VLOOKUP(D115,T_MEDIDAS[],20,FALSE))+2,FIND(" (",VLOOKUP(D115,T_MEDIDAS[],20,FALSE))-FIND(".",VLOOKUP(D115,T_MEDIDAS[],20,FALSE))-2))</f>
        <v>Bajo</v>
      </c>
      <c r="K115" s="51">
        <f>IF(D115="","",VLOOKUP(D115,T_MEDIDAS[],66,FALSE))</f>
        <v>175.00000001000001</v>
      </c>
      <c r="L115" s="61"/>
      <c r="M115" s="61"/>
      <c r="N115" s="61"/>
      <c r="O115" s="61"/>
      <c r="P115" s="61"/>
      <c r="Q115" s="61"/>
      <c r="R115" s="61"/>
      <c r="S115" s="55"/>
    </row>
    <row r="116" spans="1:19" ht="50.1" customHeight="1">
      <c r="A116" s="61"/>
      <c r="B116" s="55"/>
      <c r="C116" s="61"/>
      <c r="D116" s="12">
        <f>IF( ISERROR(VLOOKUP(ROW(C116)-9,T_MEDIDAS[],2,FALSE)), "", ROW(C116)-9 )</f>
        <v>107</v>
      </c>
      <c r="E116" s="12" t="str">
        <f>IF(D116="","",VLOOKUP(D116,T_MEDIDAS[],2,FALSE))</f>
        <v>Medida 141</v>
      </c>
      <c r="F116" s="17" t="str">
        <f>IF(D116="","",VLOOKUP(D116,T_MEDIDAS[],3,FALSE))</f>
        <v>Comunicación y sensibilización</v>
      </c>
      <c r="G116" s="17" t="str">
        <f>IF(D116="","",VLOOKUP(D116,T_MEDIDAS[],6,FALSE))</f>
        <v>Difusión de la suscripción al “Servicio de Suscripción de Temperaturas y Niveles de Riesgo”, a través del cual podrán recibir un correo electrónico y/o SMS con la información diaria sobre las temperaturas y el nivel de riesgo para la salud de aquellas provincias que les sean de interés</v>
      </c>
      <c r="H116" s="24">
        <f>IF(D116="","",VLOOKUP(D116,T_MEDIDAS[],21,FALSE))</f>
        <v>1</v>
      </c>
      <c r="I116" s="24" t="str">
        <f>IF(D116="","",VLOOKUP(D116,T_MEDIDAS[],11,FALSE))</f>
        <v>€</v>
      </c>
      <c r="J116" s="45" t="str">
        <f>IF(D116="","",MID(VLOOKUP(D116,T_MEDIDAS[],20,FALSE),FIND(". ",VLOOKUP(D116,T_MEDIDAS[],20,FALSE))+2,FIND(" (",VLOOKUP(D116,T_MEDIDAS[],20,FALSE))-FIND(".",VLOOKUP(D116,T_MEDIDAS[],20,FALSE))-2))</f>
        <v>Alto</v>
      </c>
      <c r="K116" s="50">
        <f>IF(D116="","",VLOOKUP(D116,T_MEDIDAS[],66,FALSE))</f>
        <v>162.50000141000001</v>
      </c>
      <c r="L116" s="61"/>
      <c r="M116" s="61"/>
      <c r="N116" s="61"/>
      <c r="O116" s="61"/>
      <c r="P116" s="61"/>
      <c r="Q116" s="61"/>
      <c r="R116" s="61"/>
      <c r="S116" s="55"/>
    </row>
    <row r="117" spans="1:19" ht="50.1" customHeight="1">
      <c r="A117" s="61"/>
      <c r="B117" s="55"/>
      <c r="C117" s="61"/>
      <c r="D117" s="18">
        <f>IF( ISERROR(VLOOKUP(ROW(C117)-9,T_MEDIDAS[],2,FALSE)), "", ROW(C117)-9 )</f>
        <v>108</v>
      </c>
      <c r="E117" s="18" t="str">
        <f>IF(D117="","",VLOOKUP(D117,T_MEDIDAS[],2,FALSE))</f>
        <v>Medida 127</v>
      </c>
      <c r="F117" s="13" t="str">
        <f>IF(D117="","",VLOOKUP(D117,T_MEDIDAS[],3,FALSE))</f>
        <v>Comunicación y sensibilización</v>
      </c>
      <c r="G117" s="13" t="str">
        <f>IF(D117="","",VLOOKUP(D117,T_MEDIDAS[],6,FALSE))</f>
        <v>Charlas informativas a empresas para prevenir los riesgos laborales derivados del calor con el objetivo de que, tanto las empresas como los trabajadores conozcan los efectos del calor en su organismo, así como medidas y recomendaciones para paliarlos</v>
      </c>
      <c r="H117" s="25">
        <f>IF(D117="","",VLOOKUP(D117,T_MEDIDAS[],21,FALSE))</f>
        <v>1</v>
      </c>
      <c r="I117" s="25" t="str">
        <f>IF(D117="","",VLOOKUP(D117,T_MEDIDAS[],11,FALSE))</f>
        <v>€</v>
      </c>
      <c r="J117" s="46" t="str">
        <f>IF(D117="","",MID(VLOOKUP(D117,T_MEDIDAS[],20,FALSE),FIND(". ",VLOOKUP(D117,T_MEDIDAS[],20,FALSE))+2,FIND(" (",VLOOKUP(D117,T_MEDIDAS[],20,FALSE))-FIND(".",VLOOKUP(D117,T_MEDIDAS[],20,FALSE))-2))</f>
        <v>Alto</v>
      </c>
      <c r="K117" s="51">
        <f>IF(D117="","",VLOOKUP(D117,T_MEDIDAS[],66,FALSE))</f>
        <v>162.50000126999998</v>
      </c>
      <c r="L117" s="61"/>
      <c r="M117" s="61"/>
      <c r="N117" s="61"/>
      <c r="O117" s="61"/>
      <c r="P117" s="61"/>
      <c r="Q117" s="61"/>
      <c r="R117" s="61"/>
      <c r="S117" s="55"/>
    </row>
    <row r="118" spans="1:19" ht="50.1" customHeight="1">
      <c r="A118" s="61"/>
      <c r="B118" s="55"/>
      <c r="C118" s="61"/>
      <c r="D118" s="12">
        <f>IF( ISERROR(VLOOKUP(ROW(C118)-9,T_MEDIDAS[],2,FALSE)), "", ROW(C118)-9 )</f>
        <v>109</v>
      </c>
      <c r="E118" s="12" t="str">
        <f>IF(D118="","",VLOOKUP(D118,T_MEDIDAS[],2,FALSE))</f>
        <v>Medida 104</v>
      </c>
      <c r="F118" s="17" t="str">
        <f>IF(D118="","",VLOOKUP(D118,T_MEDIDAS[],3,FALSE))</f>
        <v>Respuesta inmediata</v>
      </c>
      <c r="G118" s="17" t="str">
        <f>IF(D118="","",VLOOKUP(D118,T_MEDIDAS[],6,FALSE))</f>
        <v>Habilitación, en trabajos al aire libre, de zonas de sombra para el desarrollo de tareas y espacios acondicionados para el descanso del personal, por ejemplo, casetas con climatización</v>
      </c>
      <c r="H118" s="24">
        <f>IF(D118="","",VLOOKUP(D118,T_MEDIDAS[],21,FALSE))</f>
        <v>1</v>
      </c>
      <c r="I118" s="24" t="str">
        <f>IF(D118="","",VLOOKUP(D118,T_MEDIDAS[],11,FALSE))</f>
        <v>€€</v>
      </c>
      <c r="J118" s="45" t="str">
        <f>IF(D118="","",MID(VLOOKUP(D118,T_MEDIDAS[],20,FALSE),FIND(". ",VLOOKUP(D118,T_MEDIDAS[],20,FALSE))+2,FIND(" (",VLOOKUP(D118,T_MEDIDAS[],20,FALSE))-FIND(".",VLOOKUP(D118,T_MEDIDAS[],20,FALSE))-2))</f>
        <v>Alto</v>
      </c>
      <c r="K118" s="50">
        <f>IF(D118="","",VLOOKUP(D118,T_MEDIDAS[],66,FALSE))</f>
        <v>162.50000104</v>
      </c>
      <c r="L118" s="61"/>
      <c r="M118" s="61"/>
      <c r="N118" s="61"/>
      <c r="O118" s="61"/>
      <c r="P118" s="61"/>
      <c r="Q118" s="61"/>
      <c r="R118" s="61"/>
      <c r="S118" s="55"/>
    </row>
    <row r="119" spans="1:19" ht="50.1" customHeight="1">
      <c r="A119" s="61"/>
      <c r="B119" s="55"/>
      <c r="C119" s="61"/>
      <c r="D119" s="18">
        <f>IF( ISERROR(VLOOKUP(ROW(C119)-9,T_MEDIDAS[],2,FALSE)), "", ROW(C119)-9 )</f>
        <v>110</v>
      </c>
      <c r="E119" s="18" t="str">
        <f>IF(D119="","",VLOOKUP(D119,T_MEDIDAS[],2,FALSE))</f>
        <v>Medida 77</v>
      </c>
      <c r="F119" s="13" t="str">
        <f>IF(D119="","",VLOOKUP(D119,T_MEDIDAS[],3,FALSE))</f>
        <v>Respuesta inmediata</v>
      </c>
      <c r="G119" s="13" t="str">
        <f>IF(D119="","",VLOOKUP(D119,T_MEDIDAS[],6,FALSE))</f>
        <v xml:space="preserve">Colocación de medidas de refrigeración personal portátiles (fuentes) en espacios públicos </v>
      </c>
      <c r="H119" s="25">
        <f>IF(D119="","",VLOOKUP(D119,T_MEDIDAS[],21,FALSE))</f>
        <v>1</v>
      </c>
      <c r="I119" s="25" t="str">
        <f>IF(D119="","",VLOOKUP(D119,T_MEDIDAS[],11,FALSE))</f>
        <v>€€</v>
      </c>
      <c r="J119" s="46" t="str">
        <f>IF(D119="","",MID(VLOOKUP(D119,T_MEDIDAS[],20,FALSE),FIND(". ",VLOOKUP(D119,T_MEDIDAS[],20,FALSE))+2,FIND(" (",VLOOKUP(D119,T_MEDIDAS[],20,FALSE))-FIND(".",VLOOKUP(D119,T_MEDIDAS[],20,FALSE))-2))</f>
        <v>Alto</v>
      </c>
      <c r="K119" s="51">
        <f>IF(D119="","",VLOOKUP(D119,T_MEDIDAS[],66,FALSE))</f>
        <v>162.50000076999999</v>
      </c>
      <c r="L119" s="61"/>
      <c r="M119" s="61"/>
      <c r="N119" s="61"/>
      <c r="O119" s="61"/>
      <c r="P119" s="61"/>
      <c r="Q119" s="61"/>
      <c r="R119" s="61"/>
      <c r="S119" s="55"/>
    </row>
    <row r="120" spans="1:19" ht="50.1" customHeight="1">
      <c r="A120" s="61"/>
      <c r="B120" s="55"/>
      <c r="C120" s="61"/>
      <c r="D120" s="12">
        <f>IF( ISERROR(VLOOKUP(ROW(C120)-9,T_MEDIDAS[],2,FALSE)), "", ROW(C120)-9 )</f>
        <v>111</v>
      </c>
      <c r="E120" s="12" t="str">
        <f>IF(D120="","",VLOOKUP(D120,T_MEDIDAS[],2,FALSE))</f>
        <v>Medida 63</v>
      </c>
      <c r="F120" s="17" t="str">
        <f>IF(D120="","",VLOOKUP(D120,T_MEDIDAS[],3,FALSE))</f>
        <v>Respuesta inmediata</v>
      </c>
      <c r="G120" s="17" t="str">
        <f>IF(D120="","",VLOOKUP(D120,T_MEDIDAS[],6,FALSE))</f>
        <v>Aumento de la frecuencia de transporte público para la reducción de las esperas durante olas de calor</v>
      </c>
      <c r="H120" s="24">
        <f>IF(D120="","",VLOOKUP(D120,T_MEDIDAS[],21,FALSE))</f>
        <v>1</v>
      </c>
      <c r="I120" s="24" t="str">
        <f>IF(D120="","",VLOOKUP(D120,T_MEDIDAS[],11,FALSE))</f>
        <v>€</v>
      </c>
      <c r="J120" s="45" t="str">
        <f>IF(D120="","",MID(VLOOKUP(D120,T_MEDIDAS[],20,FALSE),FIND(". ",VLOOKUP(D120,T_MEDIDAS[],20,FALSE))+2,FIND(" (",VLOOKUP(D120,T_MEDIDAS[],20,FALSE))-FIND(".",VLOOKUP(D120,T_MEDIDAS[],20,FALSE))-2))</f>
        <v>Alto</v>
      </c>
      <c r="K120" s="50">
        <f>IF(D120="","",VLOOKUP(D120,T_MEDIDAS[],66,FALSE))</f>
        <v>162.50000063000002</v>
      </c>
      <c r="L120" s="61"/>
      <c r="M120" s="61"/>
      <c r="N120" s="61"/>
      <c r="O120" s="61"/>
      <c r="P120" s="61"/>
      <c r="Q120" s="61"/>
      <c r="R120" s="61"/>
      <c r="S120" s="55"/>
    </row>
    <row r="121" spans="1:19" ht="50.1" customHeight="1">
      <c r="A121" s="61"/>
      <c r="B121" s="55"/>
      <c r="C121" s="61"/>
      <c r="D121" s="18">
        <f>IF( ISERROR(VLOOKUP(ROW(C121)-9,T_MEDIDAS[],2,FALSE)), "", ROW(C121)-9 )</f>
        <v>112</v>
      </c>
      <c r="E121" s="18" t="str">
        <f>IF(D121="","",VLOOKUP(D121,T_MEDIDAS[],2,FALSE))</f>
        <v>Medida 50</v>
      </c>
      <c r="F121" s="13" t="str">
        <f>IF(D121="","",VLOOKUP(D121,T_MEDIDAS[],3,FALSE))</f>
        <v>Prevención</v>
      </c>
      <c r="G121" s="13" t="str">
        <f>IF(D121="","",VLOOKUP(D121,T_MEDIDAS[],6,FALSE))</f>
        <v>Actualización y mantenimiento de directorios de autoridades de la administración pública implicadas en el Plan Regional de aplicación</v>
      </c>
      <c r="H121" s="25">
        <f>IF(D121="","",VLOOKUP(D121,T_MEDIDAS[],21,FALSE))</f>
        <v>1</v>
      </c>
      <c r="I121" s="25" t="str">
        <f>IF(D121="","",VLOOKUP(D121,T_MEDIDAS[],11,FALSE))</f>
        <v>€</v>
      </c>
      <c r="J121" s="46" t="str">
        <f>IF(D121="","",MID(VLOOKUP(D121,T_MEDIDAS[],20,FALSE),FIND(". ",VLOOKUP(D121,T_MEDIDAS[],20,FALSE))+2,FIND(" (",VLOOKUP(D121,T_MEDIDAS[],20,FALSE))-FIND(".",VLOOKUP(D121,T_MEDIDAS[],20,FALSE))-2))</f>
        <v>Bajo</v>
      </c>
      <c r="K121" s="51">
        <f>IF(D121="","",VLOOKUP(D121,T_MEDIDAS[],66,FALSE))</f>
        <v>162.5000005</v>
      </c>
      <c r="L121" s="61"/>
      <c r="M121" s="61"/>
      <c r="N121" s="61"/>
      <c r="O121" s="61"/>
      <c r="P121" s="61"/>
      <c r="Q121" s="61"/>
      <c r="R121" s="61"/>
      <c r="S121" s="55"/>
    </row>
    <row r="122" spans="1:19" ht="50.1" customHeight="1">
      <c r="A122" s="61"/>
      <c r="B122" s="55"/>
      <c r="C122" s="61"/>
      <c r="D122" s="12">
        <f>IF( ISERROR(VLOOKUP(ROW(C122)-9,T_MEDIDAS[],2,FALSE)), "", ROW(C122)-9 )</f>
        <v>113</v>
      </c>
      <c r="E122" s="12" t="str">
        <f>IF(D122="","",VLOOKUP(D122,T_MEDIDAS[],2,FALSE))</f>
        <v>Medida 44</v>
      </c>
      <c r="F122" s="17" t="str">
        <f>IF(D122="","",VLOOKUP(D122,T_MEDIDAS[],3,FALSE))</f>
        <v>Prevención</v>
      </c>
      <c r="G122" s="17" t="str">
        <f>IF(D122="","",VLOOKUP(D122,T_MEDIDAS[],6,FALSE))</f>
        <v>Establecimiento de sistemas de coordinación con empresas, asociaciones y promotores de eventos culturales</v>
      </c>
      <c r="H122" s="24">
        <f>IF(D122="","",VLOOKUP(D122,T_MEDIDAS[],21,FALSE))</f>
        <v>2</v>
      </c>
      <c r="I122" s="24" t="str">
        <f>IF(D122="","",VLOOKUP(D122,T_MEDIDAS[],11,FALSE))</f>
        <v>€</v>
      </c>
      <c r="J122" s="45" t="str">
        <f>IF(D122="","",MID(VLOOKUP(D122,T_MEDIDAS[],20,FALSE),FIND(". ",VLOOKUP(D122,T_MEDIDAS[],20,FALSE))+2,FIND(" (",VLOOKUP(D122,T_MEDIDAS[],20,FALSE))-FIND(".",VLOOKUP(D122,T_MEDIDAS[],20,FALSE))-2))</f>
        <v>Sin Riesgo</v>
      </c>
      <c r="K122" s="50">
        <f>IF(D122="","",VLOOKUP(D122,T_MEDIDAS[],66,FALSE))</f>
        <v>162.50000043999998</v>
      </c>
      <c r="L122" s="61"/>
      <c r="M122" s="61"/>
      <c r="N122" s="61"/>
      <c r="O122" s="61"/>
      <c r="P122" s="61"/>
      <c r="Q122" s="61"/>
      <c r="R122" s="61"/>
      <c r="S122" s="55"/>
    </row>
    <row r="123" spans="1:19" ht="50.1" customHeight="1">
      <c r="A123" s="61"/>
      <c r="B123" s="55"/>
      <c r="C123" s="61"/>
      <c r="D123" s="18">
        <f>IF( ISERROR(VLOOKUP(ROW(C123)-9,T_MEDIDAS[],2,FALSE)), "", ROW(C123)-9 )</f>
        <v>114</v>
      </c>
      <c r="E123" s="18" t="str">
        <f>IF(D123="","",VLOOKUP(D123,T_MEDIDAS[],2,FALSE))</f>
        <v>Medida 43</v>
      </c>
      <c r="F123" s="13" t="str">
        <f>IF(D123="","",VLOOKUP(D123,T_MEDIDAS[],3,FALSE))</f>
        <v>Prevención</v>
      </c>
      <c r="G123" s="13" t="str">
        <f>IF(D123="","",VLOOKUP(D123,T_MEDIDAS[],6,FALSE))</f>
        <v>Establecimiento de sistemas de coordinación con empresas, asociaciones y promotores de eventos deportivos</v>
      </c>
      <c r="H123" s="25">
        <f>IF(D123="","",VLOOKUP(D123,T_MEDIDAS[],21,FALSE))</f>
        <v>2</v>
      </c>
      <c r="I123" s="25" t="str">
        <f>IF(D123="","",VLOOKUP(D123,T_MEDIDAS[],11,FALSE))</f>
        <v>€</v>
      </c>
      <c r="J123" s="46" t="str">
        <f>IF(D123="","",MID(VLOOKUP(D123,T_MEDIDAS[],20,FALSE),FIND(". ",VLOOKUP(D123,T_MEDIDAS[],20,FALSE))+2,FIND(" (",VLOOKUP(D123,T_MEDIDAS[],20,FALSE))-FIND(".",VLOOKUP(D123,T_MEDIDAS[],20,FALSE))-2))</f>
        <v>Sin Riesgo</v>
      </c>
      <c r="K123" s="51">
        <f>IF(D123="","",VLOOKUP(D123,T_MEDIDAS[],66,FALSE))</f>
        <v>162.50000043</v>
      </c>
      <c r="L123" s="61"/>
      <c r="M123" s="61"/>
      <c r="N123" s="61"/>
      <c r="O123" s="61"/>
      <c r="P123" s="61"/>
      <c r="Q123" s="61"/>
      <c r="R123" s="61"/>
      <c r="S123" s="55"/>
    </row>
    <row r="124" spans="1:19" ht="50.1" customHeight="1">
      <c r="A124" s="61"/>
      <c r="B124" s="55"/>
      <c r="C124" s="61"/>
      <c r="D124" s="12">
        <f>IF( ISERROR(VLOOKUP(ROW(C124)-9,T_MEDIDAS[],2,FALSE)), "", ROW(C124)-9 )</f>
        <v>115</v>
      </c>
      <c r="E124" s="12" t="str">
        <f>IF(D124="","",VLOOKUP(D124,T_MEDIDAS[],2,FALSE))</f>
        <v>Medida 40</v>
      </c>
      <c r="F124" s="17" t="str">
        <f>IF(D124="","",VLOOKUP(D124,T_MEDIDAS[],3,FALSE))</f>
        <v>Prevención</v>
      </c>
      <c r="G124" s="17" t="str">
        <f>IF(D124="","",VLOOKUP(D124,T_MEDIDAS[],6,FALSE))</f>
        <v>Mantenimiento del directorio de personas e instituciones de referencia para puesta en marcha de protocolos de actuación</v>
      </c>
      <c r="H124" s="24">
        <f>IF(D124="","",VLOOKUP(D124,T_MEDIDAS[],21,FALSE))</f>
        <v>1</v>
      </c>
      <c r="I124" s="24" t="str">
        <f>IF(D124="","",VLOOKUP(D124,T_MEDIDAS[],11,FALSE))</f>
        <v>€</v>
      </c>
      <c r="J124" s="45" t="str">
        <f>IF(D124="","",MID(VLOOKUP(D124,T_MEDIDAS[],20,FALSE),FIND(". ",VLOOKUP(D124,T_MEDIDAS[],20,FALSE))+2,FIND(" (",VLOOKUP(D124,T_MEDIDAS[],20,FALSE))-FIND(".",VLOOKUP(D124,T_MEDIDAS[],20,FALSE))-2))</f>
        <v>Sin Riesgo</v>
      </c>
      <c r="K124" s="50">
        <f>IF(D124="","",VLOOKUP(D124,T_MEDIDAS[],66,FALSE))</f>
        <v>162.5000004</v>
      </c>
      <c r="L124" s="61"/>
      <c r="M124" s="61"/>
      <c r="N124" s="61"/>
      <c r="O124" s="61"/>
      <c r="P124" s="61"/>
      <c r="Q124" s="61"/>
      <c r="R124" s="61"/>
      <c r="S124" s="55"/>
    </row>
    <row r="125" spans="1:19" ht="50.1" customHeight="1">
      <c r="A125" s="61"/>
      <c r="B125" s="55"/>
      <c r="C125" s="61"/>
      <c r="D125" s="18">
        <f>IF( ISERROR(VLOOKUP(ROW(C125)-9,T_MEDIDAS[],2,FALSE)), "", ROW(C125)-9 )</f>
        <v>116</v>
      </c>
      <c r="E125" s="18" t="str">
        <f>IF(D125="","",VLOOKUP(D125,T_MEDIDAS[],2,FALSE))</f>
        <v>Medida 36</v>
      </c>
      <c r="F125" s="13" t="str">
        <f>IF(D125="","",VLOOKUP(D125,T_MEDIDAS[],3,FALSE))</f>
        <v>Prevención</v>
      </c>
      <c r="G125" s="13" t="str">
        <f>IF(D125="","",VLOOKUP(D125,T_MEDIDAS[],6,FALSE))</f>
        <v>Mapeado del clima urbano para conocer mejor los factores que influyen en el comportamiento climático de la ciudad y localizar zonas vulnerables</v>
      </c>
      <c r="H125" s="25">
        <f>IF(D125="","",VLOOKUP(D125,T_MEDIDAS[],21,FALSE))</f>
        <v>1</v>
      </c>
      <c r="I125" s="25" t="str">
        <f>IF(D125="","",VLOOKUP(D125,T_MEDIDAS[],11,FALSE))</f>
        <v>€€</v>
      </c>
      <c r="J125" s="46" t="str">
        <f>IF(D125="","",MID(VLOOKUP(D125,T_MEDIDAS[],20,FALSE),FIND(". ",VLOOKUP(D125,T_MEDIDAS[],20,FALSE))+2,FIND(" (",VLOOKUP(D125,T_MEDIDAS[],20,FALSE))-FIND(".",VLOOKUP(D125,T_MEDIDAS[],20,FALSE))-2))</f>
        <v>Sin Riesgo</v>
      </c>
      <c r="K125" s="51">
        <f>IF(D125="","",VLOOKUP(D125,T_MEDIDAS[],66,FALSE))</f>
        <v>162.50000036</v>
      </c>
      <c r="L125" s="61"/>
      <c r="M125" s="61"/>
      <c r="N125" s="61"/>
      <c r="O125" s="61"/>
      <c r="P125" s="61"/>
      <c r="Q125" s="61"/>
      <c r="R125" s="61"/>
      <c r="S125" s="55"/>
    </row>
    <row r="126" spans="1:19" ht="50.1" customHeight="1">
      <c r="A126" s="61"/>
      <c r="B126" s="55"/>
      <c r="C126" s="61"/>
      <c r="D126" s="12">
        <f>IF( ISERROR(VLOOKUP(ROW(C126)-9,T_MEDIDAS[],2,FALSE)), "", ROW(C126)-9 )</f>
        <v>117</v>
      </c>
      <c r="E126" s="12" t="str">
        <f>IF(D126="","",VLOOKUP(D126,T_MEDIDAS[],2,FALSE))</f>
        <v>Medida 16</v>
      </c>
      <c r="F126" s="17" t="str">
        <f>IF(D126="","",VLOOKUP(D126,T_MEDIDAS[],3,FALSE))</f>
        <v>Prevención</v>
      </c>
      <c r="G126" s="17" t="str">
        <f>IF(D126="","",VLOOKUP(D126,T_MEDIDAS[],6,FALSE))</f>
        <v>Establecimiento de datos de referencia para la identificación de zonas prioritarias de actuación durante olas de calor (análisis de cubierta vegetal, cubierta de espacios abiertos, sombra proporcionada por edificios…)</v>
      </c>
      <c r="H126" s="24">
        <f>IF(D126="","",VLOOKUP(D126,T_MEDIDAS[],21,FALSE))</f>
        <v>2</v>
      </c>
      <c r="I126" s="24" t="str">
        <f>IF(D126="","",VLOOKUP(D126,T_MEDIDAS[],11,FALSE))</f>
        <v>€</v>
      </c>
      <c r="J126" s="45" t="str">
        <f>IF(D126="","",MID(VLOOKUP(D126,T_MEDIDAS[],20,FALSE),FIND(". ",VLOOKUP(D126,T_MEDIDAS[],20,FALSE))+2,FIND(" (",VLOOKUP(D126,T_MEDIDAS[],20,FALSE))-FIND(".",VLOOKUP(D126,T_MEDIDAS[],20,FALSE))-2))</f>
        <v>Sin Riesgo</v>
      </c>
      <c r="K126" s="50">
        <f>IF(D126="","",VLOOKUP(D126,T_MEDIDAS[],66,FALSE))</f>
        <v>162.50000015999998</v>
      </c>
      <c r="L126" s="61"/>
      <c r="M126" s="61"/>
      <c r="N126" s="61"/>
      <c r="O126" s="61"/>
      <c r="P126" s="61"/>
      <c r="Q126" s="61"/>
      <c r="R126" s="61"/>
      <c r="S126" s="55"/>
    </row>
    <row r="127" spans="1:19" ht="50.1" customHeight="1">
      <c r="A127" s="61"/>
      <c r="B127" s="55"/>
      <c r="C127" s="61"/>
      <c r="D127" s="18">
        <f>IF( ISERROR(VLOOKUP(ROW(C127)-9,T_MEDIDAS[],2,FALSE)), "", ROW(C127)-9 )</f>
        <v>118</v>
      </c>
      <c r="E127" s="18" t="str">
        <f>IF(D127="","",VLOOKUP(D127,T_MEDIDAS[],2,FALSE))</f>
        <v>Medida 13</v>
      </c>
      <c r="F127" s="13" t="str">
        <f>IF(D127="","",VLOOKUP(D127,T_MEDIDAS[],3,FALSE))</f>
        <v>Prevención</v>
      </c>
      <c r="G127" s="13" t="str">
        <f>IF(D127="","",VLOOKUP(D127,T_MEDIDAS[],6,FALSE))</f>
        <v>Identificación de oportunidades y recursos de alta potencialidad turística que impulsen la desestacionalización y el desarrollo de nuevas actividades de promoción turística más adaptadas a los episodios de altas temperaturas</v>
      </c>
      <c r="H127" s="25">
        <f>IF(D127="","",VLOOKUP(D127,T_MEDIDAS[],21,FALSE))</f>
        <v>1</v>
      </c>
      <c r="I127" s="25" t="str">
        <f>IF(D127="","",VLOOKUP(D127,T_MEDIDAS[],11,FALSE))</f>
        <v>€</v>
      </c>
      <c r="J127" s="46" t="str">
        <f>IF(D127="","",MID(VLOOKUP(D127,T_MEDIDAS[],20,FALSE),FIND(". ",VLOOKUP(D127,T_MEDIDAS[],20,FALSE))+2,FIND(" (",VLOOKUP(D127,T_MEDIDAS[],20,FALSE))-FIND(".",VLOOKUP(D127,T_MEDIDAS[],20,FALSE))-2))</f>
        <v>Sin Riesgo</v>
      </c>
      <c r="K127" s="51">
        <f>IF(D127="","",VLOOKUP(D127,T_MEDIDAS[],66,FALSE))</f>
        <v>162.50000013000002</v>
      </c>
      <c r="L127" s="61"/>
      <c r="M127" s="61"/>
      <c r="N127" s="61"/>
      <c r="O127" s="61"/>
      <c r="P127" s="61"/>
      <c r="Q127" s="61"/>
      <c r="R127" s="61"/>
      <c r="S127" s="55"/>
    </row>
    <row r="128" spans="1:19" ht="50.1" customHeight="1">
      <c r="A128" s="61"/>
      <c r="B128" s="55"/>
      <c r="C128" s="61"/>
      <c r="D128" s="12">
        <f>IF( ISERROR(VLOOKUP(ROW(C128)-9,T_MEDIDAS[],2,FALSE)), "", ROW(C128)-9 )</f>
        <v>119</v>
      </c>
      <c r="E128" s="12" t="str">
        <f>IF(D128="","",VLOOKUP(D128,T_MEDIDAS[],2,FALSE))</f>
        <v>Medida 2</v>
      </c>
      <c r="F128" s="17" t="str">
        <f>IF(D128="","",VLOOKUP(D128,T_MEDIDAS[],3,FALSE))</f>
        <v>Prevención</v>
      </c>
      <c r="G128" s="17" t="str">
        <f>IF(D128="","",VLOOKUP(D128,T_MEDIDAS[],6,FALSE))</f>
        <v>Instalación de fachadas verdes en edificios públicos</v>
      </c>
      <c r="H128" s="24">
        <f>IF(D128="","",VLOOKUP(D128,T_MEDIDAS[],21,FALSE))</f>
        <v>1</v>
      </c>
      <c r="I128" s="24" t="str">
        <f>IF(D128="","",VLOOKUP(D128,T_MEDIDAS[],11,FALSE))</f>
        <v>€€€</v>
      </c>
      <c r="J128" s="45" t="str">
        <f>IF(D128="","",MID(VLOOKUP(D128,T_MEDIDAS[],20,FALSE),FIND(". ",VLOOKUP(D128,T_MEDIDAS[],20,FALSE))+2,FIND(" (",VLOOKUP(D128,T_MEDIDAS[],20,FALSE))-FIND(".",VLOOKUP(D128,T_MEDIDAS[],20,FALSE))-2))</f>
        <v>Sin Riesgo</v>
      </c>
      <c r="K128" s="50">
        <f>IF(D128="","",VLOOKUP(D128,T_MEDIDAS[],66,FALSE))</f>
        <v>162.50000002000002</v>
      </c>
      <c r="L128" s="61"/>
      <c r="M128" s="61"/>
      <c r="N128" s="61"/>
      <c r="O128" s="61"/>
      <c r="P128" s="61"/>
      <c r="Q128" s="61"/>
      <c r="R128" s="61"/>
      <c r="S128" s="55"/>
    </row>
    <row r="129" spans="1:19" ht="50.1" customHeight="1">
      <c r="A129" s="61"/>
      <c r="B129" s="55"/>
      <c r="C129" s="61"/>
      <c r="D129" s="18">
        <f>IF( ISERROR(VLOOKUP(ROW(C129)-9,T_MEDIDAS[],2,FALSE)), "", ROW(C129)-9 )</f>
        <v>120</v>
      </c>
      <c r="E129" s="18" t="str">
        <f>IF(D129="","",VLOOKUP(D129,T_MEDIDAS[],2,FALSE))</f>
        <v>Medida 125</v>
      </c>
      <c r="F129" s="13" t="str">
        <f>IF(D129="","",VLOOKUP(D129,T_MEDIDAS[],3,FALSE))</f>
        <v>Comunicación y sensibilización</v>
      </c>
      <c r="G129" s="13" t="str">
        <f>IF(D129="","",VLOOKUP(D129,T_MEDIDAS[],6,FALSE))</f>
        <v>Elaboración y publicación (online o en papel) de un mapa de la red de fuentes potables</v>
      </c>
      <c r="H129" s="25">
        <f>IF(D129="","",VLOOKUP(D129,T_MEDIDAS[],21,FALSE))</f>
        <v>1</v>
      </c>
      <c r="I129" s="25" t="str">
        <f>IF(D129="","",VLOOKUP(D129,T_MEDIDAS[],11,FALSE))</f>
        <v>€</v>
      </c>
      <c r="J129" s="46" t="str">
        <f>IF(D129="","",MID(VLOOKUP(D129,T_MEDIDAS[],20,FALSE),FIND(". ",VLOOKUP(D129,T_MEDIDAS[],20,FALSE))+2,FIND(" (",VLOOKUP(D129,T_MEDIDAS[],20,FALSE))-FIND(".",VLOOKUP(D129,T_MEDIDAS[],20,FALSE))-2))</f>
        <v>Alto</v>
      </c>
      <c r="K129" s="51">
        <f>IF(D129="","",VLOOKUP(D129,T_MEDIDAS[],66,FALSE))</f>
        <v>150.00000125</v>
      </c>
      <c r="L129" s="61"/>
      <c r="M129" s="61"/>
      <c r="N129" s="61"/>
      <c r="O129" s="61"/>
      <c r="P129" s="61"/>
      <c r="Q129" s="61"/>
      <c r="R129" s="61"/>
      <c r="S129" s="55"/>
    </row>
    <row r="130" spans="1:19" ht="50.1" customHeight="1">
      <c r="A130" s="61"/>
      <c r="B130" s="55"/>
      <c r="C130" s="61"/>
      <c r="D130" s="12">
        <f>IF( ISERROR(VLOOKUP(ROW(C130)-9,T_MEDIDAS[],2,FALSE)), "", ROW(C130)-9 )</f>
        <v>121</v>
      </c>
      <c r="E130" s="12" t="str">
        <f>IF(D130="","",VLOOKUP(D130,T_MEDIDAS[],2,FALSE))</f>
        <v>Medida 64</v>
      </c>
      <c r="F130" s="17" t="str">
        <f>IF(D130="","",VLOOKUP(D130,T_MEDIDAS[],3,FALSE))</f>
        <v>Respuesta inmediata</v>
      </c>
      <c r="G130" s="17" t="str">
        <f>IF(D130="","",VLOOKUP(D130,T_MEDIDAS[],6,FALSE))</f>
        <v>Activación de teletrabajo a los empleados públicos en caso de altas temperaturas extremas en aquellos puestos que sea posible</v>
      </c>
      <c r="H130" s="24">
        <f>IF(D130="","",VLOOKUP(D130,T_MEDIDAS[],21,FALSE))</f>
        <v>1</v>
      </c>
      <c r="I130" s="24" t="str">
        <f>IF(D130="","",VLOOKUP(D130,T_MEDIDAS[],11,FALSE))</f>
        <v>€</v>
      </c>
      <c r="J130" s="45" t="str">
        <f>IF(D130="","",MID(VLOOKUP(D130,T_MEDIDAS[],20,FALSE),FIND(". ",VLOOKUP(D130,T_MEDIDAS[],20,FALSE))+2,FIND(" (",VLOOKUP(D130,T_MEDIDAS[],20,FALSE))-FIND(".",VLOOKUP(D130,T_MEDIDAS[],20,FALSE))-2))</f>
        <v>Alto</v>
      </c>
      <c r="K130" s="50">
        <f>IF(D130="","",VLOOKUP(D130,T_MEDIDAS[],66,FALSE))</f>
        <v>150.00000064</v>
      </c>
      <c r="L130" s="61"/>
      <c r="M130" s="61"/>
      <c r="N130" s="61"/>
      <c r="O130" s="61"/>
      <c r="P130" s="61"/>
      <c r="Q130" s="61"/>
      <c r="R130" s="61"/>
      <c r="S130" s="55"/>
    </row>
    <row r="131" spans="1:19" ht="50.1" customHeight="1">
      <c r="A131" s="61"/>
      <c r="B131" s="55"/>
      <c r="C131" s="61"/>
      <c r="D131" s="18">
        <f>IF( ISERROR(VLOOKUP(ROW(C131)-9,T_MEDIDAS[],2,FALSE)), "", ROW(C131)-9 )</f>
        <v>122</v>
      </c>
      <c r="E131" s="18" t="str">
        <f>IF(D131="","",VLOOKUP(D131,T_MEDIDAS[],2,FALSE))</f>
        <v>Medida 57</v>
      </c>
      <c r="F131" s="13" t="str">
        <f>IF(D131="","",VLOOKUP(D131,T_MEDIDAS[],3,FALSE))</f>
        <v>Respuesta inmediata</v>
      </c>
      <c r="G131" s="13" t="str">
        <f>IF(D131="","",VLOOKUP(D131,T_MEDIDAS[],6,FALSE))</f>
        <v>Habilitación de juegos de agua en el espacio público</v>
      </c>
      <c r="H131" s="25">
        <f>IF(D131="","",VLOOKUP(D131,T_MEDIDAS[],21,FALSE))</f>
        <v>2</v>
      </c>
      <c r="I131" s="25" t="str">
        <f>IF(D131="","",VLOOKUP(D131,T_MEDIDAS[],11,FALSE))</f>
        <v>€€</v>
      </c>
      <c r="J131" s="46" t="str">
        <f>IF(D131="","",MID(VLOOKUP(D131,T_MEDIDAS[],20,FALSE),FIND(". ",VLOOKUP(D131,T_MEDIDAS[],20,FALSE))+2,FIND(" (",VLOOKUP(D131,T_MEDIDAS[],20,FALSE))-FIND(".",VLOOKUP(D131,T_MEDIDAS[],20,FALSE))-2))</f>
        <v>Alto</v>
      </c>
      <c r="K131" s="51">
        <f>IF(D131="","",VLOOKUP(D131,T_MEDIDAS[],66,FALSE))</f>
        <v>150.00000057</v>
      </c>
      <c r="L131" s="61"/>
      <c r="M131" s="61"/>
      <c r="N131" s="61"/>
      <c r="O131" s="61"/>
      <c r="P131" s="61"/>
      <c r="Q131" s="61"/>
      <c r="R131" s="61"/>
      <c r="S131" s="55"/>
    </row>
    <row r="132" spans="1:19" ht="50.1" customHeight="1">
      <c r="A132" s="61"/>
      <c r="B132" s="55"/>
      <c r="C132" s="61"/>
      <c r="D132" s="12">
        <f>IF( ISERROR(VLOOKUP(ROW(C132)-9,T_MEDIDAS[],2,FALSE)), "", ROW(C132)-9 )</f>
        <v>123</v>
      </c>
      <c r="E132" s="12" t="str">
        <f>IF(D132="","",VLOOKUP(D132,T_MEDIDAS[],2,FALSE))</f>
        <v>Medida 52</v>
      </c>
      <c r="F132" s="17" t="str">
        <f>IF(D132="","",VLOOKUP(D132,T_MEDIDAS[],3,FALSE))</f>
        <v>Prevención</v>
      </c>
      <c r="G132" s="17" t="str">
        <f>IF(D132="","",VLOOKUP(D132,T_MEDIDAS[],6,FALSE))</f>
        <v>Coordinación con las Comunidades Autónomas de la aplicación de campañas de información a diferentes grupos de población</v>
      </c>
      <c r="H132" s="24">
        <f>IF(D132="","",VLOOKUP(D132,T_MEDIDAS[],21,FALSE))</f>
        <v>1</v>
      </c>
      <c r="I132" s="24" t="str">
        <f>IF(D132="","",VLOOKUP(D132,T_MEDIDAS[],11,FALSE))</f>
        <v>€</v>
      </c>
      <c r="J132" s="45" t="str">
        <f>IF(D132="","",MID(VLOOKUP(D132,T_MEDIDAS[],20,FALSE),FIND(". ",VLOOKUP(D132,T_MEDIDAS[],20,FALSE))+2,FIND(" (",VLOOKUP(D132,T_MEDIDAS[],20,FALSE))-FIND(".",VLOOKUP(D132,T_MEDIDAS[],20,FALSE))-2))</f>
        <v>Bajo</v>
      </c>
      <c r="K132" s="50">
        <f>IF(D132="","",VLOOKUP(D132,T_MEDIDAS[],66,FALSE))</f>
        <v>150.00000051999999</v>
      </c>
      <c r="L132" s="61"/>
      <c r="M132" s="61"/>
      <c r="N132" s="61"/>
      <c r="O132" s="61"/>
      <c r="P132" s="61"/>
      <c r="Q132" s="61"/>
      <c r="R132" s="61"/>
      <c r="S132" s="55"/>
    </row>
    <row r="133" spans="1:19" ht="50.1" customHeight="1">
      <c r="A133" s="61"/>
      <c r="B133" s="55"/>
      <c r="C133" s="61"/>
      <c r="D133" s="18">
        <f>IF( ISERROR(VLOOKUP(ROW(C133)-9,T_MEDIDAS[],2,FALSE)), "", ROW(C133)-9 )</f>
        <v>124</v>
      </c>
      <c r="E133" s="18" t="str">
        <f>IF(D133="","",VLOOKUP(D133,T_MEDIDAS[],2,FALSE))</f>
        <v>Medida 51</v>
      </c>
      <c r="F133" s="13" t="str">
        <f>IF(D133="","",VLOOKUP(D133,T_MEDIDAS[],3,FALSE))</f>
        <v>Prevención</v>
      </c>
      <c r="G133" s="13" t="str">
        <f>IF(D133="","",VLOOKUP(D133,T_MEDIDAS[],6,FALSE))</f>
        <v>Coordinación con las autoridades sanitarias de las Comunidades Autónomas que elaboran y aplican su propio plan</v>
      </c>
      <c r="H133" s="25">
        <f>IF(D133="","",VLOOKUP(D133,T_MEDIDAS[],21,FALSE))</f>
        <v>1</v>
      </c>
      <c r="I133" s="25" t="str">
        <f>IF(D133="","",VLOOKUP(D133,T_MEDIDAS[],11,FALSE))</f>
        <v>€</v>
      </c>
      <c r="J133" s="46" t="str">
        <f>IF(D133="","",MID(VLOOKUP(D133,T_MEDIDAS[],20,FALSE),FIND(". ",VLOOKUP(D133,T_MEDIDAS[],20,FALSE))+2,FIND(" (",VLOOKUP(D133,T_MEDIDAS[],20,FALSE))-FIND(".",VLOOKUP(D133,T_MEDIDAS[],20,FALSE))-2))</f>
        <v>Bajo</v>
      </c>
      <c r="K133" s="51">
        <f>IF(D133="","",VLOOKUP(D133,T_MEDIDAS[],66,FALSE))</f>
        <v>150.00000051000001</v>
      </c>
      <c r="L133" s="61"/>
      <c r="M133" s="61"/>
      <c r="N133" s="61"/>
      <c r="O133" s="61"/>
      <c r="P133" s="61"/>
      <c r="Q133" s="61"/>
      <c r="R133" s="61"/>
      <c r="S133" s="55"/>
    </row>
    <row r="134" spans="1:19" ht="50.1" customHeight="1">
      <c r="A134" s="61"/>
      <c r="B134" s="55"/>
      <c r="C134" s="61"/>
      <c r="D134" s="12">
        <f>IF( ISERROR(VLOOKUP(ROW(C134)-9,T_MEDIDAS[],2,FALSE)), "", ROW(C134)-9 )</f>
        <v>125</v>
      </c>
      <c r="E134" s="12" t="str">
        <f>IF(D134="","",VLOOKUP(D134,T_MEDIDAS[],2,FALSE))</f>
        <v>Medida 23</v>
      </c>
      <c r="F134" s="17" t="str">
        <f>IF(D134="","",VLOOKUP(D134,T_MEDIDAS[],3,FALSE))</f>
        <v>Prevención</v>
      </c>
      <c r="G134" s="17" t="str">
        <f>IF(D134="","",VLOOKUP(D134,T_MEDIDAS[],6,FALSE))</f>
        <v>Creación de zonas verdes de descanso en espacios industriales</v>
      </c>
      <c r="H134" s="24">
        <f>IF(D134="","",VLOOKUP(D134,T_MEDIDAS[],21,FALSE))</f>
        <v>2</v>
      </c>
      <c r="I134" s="24" t="str">
        <f>IF(D134="","",VLOOKUP(D134,T_MEDIDAS[],11,FALSE))</f>
        <v>€€€</v>
      </c>
      <c r="J134" s="45" t="str">
        <f>IF(D134="","",MID(VLOOKUP(D134,T_MEDIDAS[],20,FALSE),FIND(". ",VLOOKUP(D134,T_MEDIDAS[],20,FALSE))+2,FIND(" (",VLOOKUP(D134,T_MEDIDAS[],20,FALSE))-FIND(".",VLOOKUP(D134,T_MEDIDAS[],20,FALSE))-2))</f>
        <v>Sin Riesgo</v>
      </c>
      <c r="K134" s="50">
        <f>IF(D134="","",VLOOKUP(D134,T_MEDIDAS[],66,FALSE))</f>
        <v>150.00000022999998</v>
      </c>
      <c r="L134" s="61"/>
      <c r="M134" s="61"/>
      <c r="N134" s="61"/>
      <c r="O134" s="61"/>
      <c r="P134" s="61"/>
      <c r="Q134" s="61"/>
      <c r="R134" s="61"/>
      <c r="S134" s="55"/>
    </row>
    <row r="135" spans="1:19" ht="50.1" customHeight="1">
      <c r="A135" s="61"/>
      <c r="B135" s="55"/>
      <c r="C135" s="61"/>
      <c r="D135" s="18">
        <f>IF( ISERROR(VLOOKUP(ROW(C135)-9,T_MEDIDAS[],2,FALSE)), "", ROW(C135)-9 )</f>
        <v>126</v>
      </c>
      <c r="E135" s="18" t="str">
        <f>IF(D135="","",VLOOKUP(D135,T_MEDIDAS[],2,FALSE))</f>
        <v>Medida 15</v>
      </c>
      <c r="F135" s="13" t="str">
        <f>IF(D135="","",VLOOKUP(D135,T_MEDIDAS[],3,FALSE))</f>
        <v>Prevención</v>
      </c>
      <c r="G135" s="13" t="str">
        <f>IF(D135="","",VLOOKUP(D135,T_MEDIDAS[],6,FALSE))</f>
        <v>Análisis del riesgo climático de las infraestructuras y equipamientos turísticos frente a las olas de calor</v>
      </c>
      <c r="H135" s="25">
        <f>IF(D135="","",VLOOKUP(D135,T_MEDIDAS[],21,FALSE))</f>
        <v>2</v>
      </c>
      <c r="I135" s="25" t="str">
        <f>IF(D135="","",VLOOKUP(D135,T_MEDIDAS[],11,FALSE))</f>
        <v>€</v>
      </c>
      <c r="J135" s="46" t="str">
        <f>IF(D135="","",MID(VLOOKUP(D135,T_MEDIDAS[],20,FALSE),FIND(". ",VLOOKUP(D135,T_MEDIDAS[],20,FALSE))+2,FIND(" (",VLOOKUP(D135,T_MEDIDAS[],20,FALSE))-FIND(".",VLOOKUP(D135,T_MEDIDAS[],20,FALSE))-2))</f>
        <v>Sin Riesgo</v>
      </c>
      <c r="K135" s="51">
        <f>IF(D135="","",VLOOKUP(D135,T_MEDIDAS[],66,FALSE))</f>
        <v>150.00000014999998</v>
      </c>
      <c r="L135" s="61"/>
      <c r="M135" s="61"/>
      <c r="N135" s="61"/>
      <c r="O135" s="61"/>
      <c r="P135" s="61"/>
      <c r="Q135" s="61"/>
      <c r="R135" s="61"/>
      <c r="S135" s="55"/>
    </row>
    <row r="136" spans="1:19" ht="50.1" customHeight="1">
      <c r="A136" s="61"/>
      <c r="B136" s="55"/>
      <c r="C136" s="61"/>
      <c r="D136" s="12">
        <f>IF( ISERROR(VLOOKUP(ROW(C136)-9,T_MEDIDAS[],2,FALSE)), "", ROW(C136)-9 )</f>
        <v>127</v>
      </c>
      <c r="E136" s="12" t="str">
        <f>IF(D136="","",VLOOKUP(D136,T_MEDIDAS[],2,FALSE))</f>
        <v>Medida 6</v>
      </c>
      <c r="F136" s="17" t="str">
        <f>IF(D136="","",VLOOKUP(D136,T_MEDIDAS[],3,FALSE))</f>
        <v>Prevención</v>
      </c>
      <c r="G136" s="17" t="str">
        <f>IF(D136="","",VLOOKUP(D136,T_MEDIDAS[],6,FALSE))</f>
        <v>Aplicación de criterios bioclimáticos en el diseño de los espacios abiertos</v>
      </c>
      <c r="H136" s="24">
        <f>IF(D136="","",VLOOKUP(D136,T_MEDIDAS[],21,FALSE))</f>
        <v>1</v>
      </c>
      <c r="I136" s="24" t="str">
        <f>IF(D136="","",VLOOKUP(D136,T_MEDIDAS[],11,FALSE))</f>
        <v>€</v>
      </c>
      <c r="J136" s="45" t="str">
        <f>IF(D136="","",MID(VLOOKUP(D136,T_MEDIDAS[],20,FALSE),FIND(". ",VLOOKUP(D136,T_MEDIDAS[],20,FALSE))+2,FIND(" (",VLOOKUP(D136,T_MEDIDAS[],20,FALSE))-FIND(".",VLOOKUP(D136,T_MEDIDAS[],20,FALSE))-2))</f>
        <v>Sin Riesgo</v>
      </c>
      <c r="K136" s="50">
        <f>IF(D136="","",VLOOKUP(D136,T_MEDIDAS[],66,FALSE))</f>
        <v>150.00000005999999</v>
      </c>
      <c r="L136" s="61"/>
      <c r="M136" s="61"/>
      <c r="N136" s="61"/>
      <c r="O136" s="61"/>
      <c r="P136" s="61"/>
      <c r="Q136" s="61"/>
      <c r="R136" s="61"/>
      <c r="S136" s="55"/>
    </row>
    <row r="137" spans="1:19" ht="50.1" customHeight="1">
      <c r="A137" s="61"/>
      <c r="B137" s="55"/>
      <c r="C137" s="61"/>
      <c r="D137" s="18">
        <f>IF( ISERROR(VLOOKUP(ROW(C137)-9,T_MEDIDAS[],2,FALSE)), "", ROW(C137)-9 )</f>
        <v>128</v>
      </c>
      <c r="E137" s="18" t="str">
        <f>IF(D137="","",VLOOKUP(D137,T_MEDIDAS[],2,FALSE))</f>
        <v>Medida 56</v>
      </c>
      <c r="F137" s="13" t="str">
        <f>IF(D137="","",VLOOKUP(D137,T_MEDIDAS[],3,FALSE))</f>
        <v>Prevención</v>
      </c>
      <c r="G137" s="13" t="str">
        <f>IF(D137="","",VLOOKUP(D137,T_MEDIDAS[],6,FALSE))</f>
        <v>Acondicionamiento de playas fluviales o lagunas en las que se permita el baño</v>
      </c>
      <c r="H137" s="25">
        <f>IF(D137="","",VLOOKUP(D137,T_MEDIDAS[],21,FALSE))</f>
        <v>0</v>
      </c>
      <c r="I137" s="25" t="str">
        <f>IF(D137="","",VLOOKUP(D137,T_MEDIDAS[],11,FALSE))</f>
        <v>€€</v>
      </c>
      <c r="J137" s="46" t="str">
        <f>IF(D137="","",MID(VLOOKUP(D137,T_MEDIDAS[],20,FALSE),FIND(". ",VLOOKUP(D137,T_MEDIDAS[],20,FALSE))+2,FIND(" (",VLOOKUP(D137,T_MEDIDAS[],20,FALSE))-FIND(".",VLOOKUP(D137,T_MEDIDAS[],20,FALSE))-2))</f>
        <v>Bajo</v>
      </c>
      <c r="K137" s="51">
        <f>IF(D137="","",VLOOKUP(D137,T_MEDIDAS[],66,FALSE))</f>
        <v>137.50000055999999</v>
      </c>
      <c r="L137" s="61"/>
      <c r="M137" s="61"/>
      <c r="N137" s="61"/>
      <c r="O137" s="61"/>
      <c r="P137" s="61"/>
      <c r="Q137" s="61"/>
      <c r="R137" s="61"/>
      <c r="S137" s="55"/>
    </row>
    <row r="138" spans="1:19" ht="50.1" customHeight="1">
      <c r="A138" s="61"/>
      <c r="B138" s="55"/>
      <c r="C138" s="61"/>
      <c r="D138" s="12">
        <f>IF( ISERROR(VLOOKUP(ROW(C138)-9,T_MEDIDAS[],2,FALSE)), "", ROW(C138)-9 )</f>
        <v>129</v>
      </c>
      <c r="E138" s="12" t="str">
        <f>IF(D138="","",VLOOKUP(D138,T_MEDIDAS[],2,FALSE))</f>
        <v>Medida 53</v>
      </c>
      <c r="F138" s="17" t="str">
        <f>IF(D138="","",VLOOKUP(D138,T_MEDIDAS[],3,FALSE))</f>
        <v>Prevención</v>
      </c>
      <c r="G138" s="17" t="str">
        <f>IF(D138="","",VLOOKUP(D138,T_MEDIDAS[],6,FALSE))</f>
        <v>Instalación de aparatos de aire acondicionado en centros e instalaciones municipales que carezcan de medidas de refrigeración</v>
      </c>
      <c r="H138" s="24">
        <f>IF(D138="","",VLOOKUP(D138,T_MEDIDAS[],21,FALSE))</f>
        <v>4</v>
      </c>
      <c r="I138" s="24" t="str">
        <f>IF(D138="","",VLOOKUP(D138,T_MEDIDAS[],11,FALSE))</f>
        <v>€€</v>
      </c>
      <c r="J138" s="45" t="str">
        <f>IF(D138="","",MID(VLOOKUP(D138,T_MEDIDAS[],20,FALSE),FIND(". ",VLOOKUP(D138,T_MEDIDAS[],20,FALSE))+2,FIND(" (",VLOOKUP(D138,T_MEDIDAS[],20,FALSE))-FIND(".",VLOOKUP(D138,T_MEDIDAS[],20,FALSE))-2))</f>
        <v>Bajo</v>
      </c>
      <c r="K138" s="50">
        <f>IF(D138="","",VLOOKUP(D138,T_MEDIDAS[],66,FALSE))</f>
        <v>137.50000052999999</v>
      </c>
      <c r="L138" s="61"/>
      <c r="M138" s="61"/>
      <c r="N138" s="61"/>
      <c r="O138" s="61"/>
      <c r="P138" s="61"/>
      <c r="Q138" s="61"/>
      <c r="R138" s="61"/>
      <c r="S138" s="55"/>
    </row>
    <row r="139" spans="1:19" ht="50.1" customHeight="1">
      <c r="A139" s="61"/>
      <c r="B139" s="55"/>
      <c r="C139" s="61"/>
      <c r="D139" s="18">
        <f>IF( ISERROR(VLOOKUP(ROW(C139)-9,T_MEDIDAS[],2,FALSE)), "", ROW(C139)-9 )</f>
        <v>130</v>
      </c>
      <c r="E139" s="18" t="str">
        <f>IF(D139="","",VLOOKUP(D139,T_MEDIDAS[],2,FALSE))</f>
        <v>Medida 42</v>
      </c>
      <c r="F139" s="13" t="str">
        <f>IF(D139="","",VLOOKUP(D139,T_MEDIDAS[],3,FALSE))</f>
        <v>Prevención</v>
      </c>
      <c r="G139" s="13" t="str">
        <f>IF(D139="","",VLOOKUP(D139,T_MEDIDAS[],6,FALSE))</f>
        <v>Ejecución de medidas para la adaptación de infraestructuras y equipamientos turísticos a eventos de altas temperaturas extremas (ej. instalación de estructuras de sombra, habilitación de espacios interiores, instalación de puntos de agua)</v>
      </c>
      <c r="H139" s="25">
        <f>IF(D139="","",VLOOKUP(D139,T_MEDIDAS[],21,FALSE))</f>
        <v>2</v>
      </c>
      <c r="I139" s="25" t="str">
        <f>IF(D139="","",VLOOKUP(D139,T_MEDIDAS[],11,FALSE))</f>
        <v>€</v>
      </c>
      <c r="J139" s="46" t="str">
        <f>IF(D139="","",MID(VLOOKUP(D139,T_MEDIDAS[],20,FALSE),FIND(". ",VLOOKUP(D139,T_MEDIDAS[],20,FALSE))+2,FIND(" (",VLOOKUP(D139,T_MEDIDAS[],20,FALSE))-FIND(".",VLOOKUP(D139,T_MEDIDAS[],20,FALSE))-2))</f>
        <v>Sin Riesgo</v>
      </c>
      <c r="K139" s="51">
        <f>IF(D139="","",VLOOKUP(D139,T_MEDIDAS[],66,FALSE))</f>
        <v>137.50000041999999</v>
      </c>
      <c r="L139" s="61"/>
      <c r="M139" s="61"/>
      <c r="N139" s="61"/>
      <c r="O139" s="61"/>
      <c r="P139" s="61"/>
      <c r="Q139" s="61"/>
      <c r="R139" s="61"/>
      <c r="S139" s="55"/>
    </row>
    <row r="140" spans="1:19" ht="50.1" customHeight="1">
      <c r="A140" s="61"/>
      <c r="B140" s="55"/>
      <c r="C140" s="61"/>
      <c r="D140" s="12">
        <f>IF( ISERROR(VLOOKUP(ROW(C140)-9,T_MEDIDAS[],2,FALSE)), "", ROW(C140)-9 )</f>
        <v>131</v>
      </c>
      <c r="E140" s="12" t="str">
        <f>IF(D140="","",VLOOKUP(D140,T_MEDIDAS[],2,FALSE))</f>
        <v>Medida 41</v>
      </c>
      <c r="F140" s="17" t="str">
        <f>IF(D140="","",VLOOKUP(D140,T_MEDIDAS[],3,FALSE))</f>
        <v>Prevención</v>
      </c>
      <c r="G140" s="17" t="str">
        <f>IF(D140="","",VLOOKUP(D140,T_MEDIDAS[],6,FALSE))</f>
        <v>Estudios técnicos específicos de análisis de la realidad bioclimática y de confort de los centros docentes para determinar sus características a partir de su ubicación geográfica, orientación, grado de exposición al sol, tipología constructiva, materiales de construcción empleados, calidad del aislamiento, etc., para determinar la necesidad de realizar en los centros actuaciones en materia de aislamiento térmico (aislamiento de tejados, fachadas y ventanas), ventilación, instalación de sistemas de climatización o de temperamento de la temperatura o zonas de sombra en los espacios exteriores</v>
      </c>
      <c r="H140" s="24">
        <f>IF(D140="","",VLOOKUP(D140,T_MEDIDAS[],21,FALSE))</f>
        <v>4</v>
      </c>
      <c r="I140" s="24" t="str">
        <f>IF(D140="","",VLOOKUP(D140,T_MEDIDAS[],11,FALSE))</f>
        <v>€</v>
      </c>
      <c r="J140" s="45" t="str">
        <f>IF(D140="","",MID(VLOOKUP(D140,T_MEDIDAS[],20,FALSE),FIND(". ",VLOOKUP(D140,T_MEDIDAS[],20,FALSE))+2,FIND(" (",VLOOKUP(D140,T_MEDIDAS[],20,FALSE))-FIND(".",VLOOKUP(D140,T_MEDIDAS[],20,FALSE))-2))</f>
        <v>Sin Riesgo</v>
      </c>
      <c r="K140" s="50">
        <f>IF(D140="","",VLOOKUP(D140,T_MEDIDAS[],66,FALSE))</f>
        <v>137.50000040999998</v>
      </c>
      <c r="L140" s="61"/>
      <c r="M140" s="61"/>
      <c r="N140" s="61"/>
      <c r="O140" s="61"/>
      <c r="P140" s="61"/>
      <c r="Q140" s="61"/>
      <c r="R140" s="61"/>
      <c r="S140" s="55"/>
    </row>
    <row r="141" spans="1:19" ht="50.1" customHeight="1">
      <c r="A141" s="61"/>
      <c r="B141" s="55"/>
      <c r="C141" s="61"/>
      <c r="D141" s="18">
        <f>IF( ISERROR(VLOOKUP(ROW(C141)-9,T_MEDIDAS[],2,FALSE)), "", ROW(C141)-9 )</f>
        <v>132</v>
      </c>
      <c r="E141" s="18" t="str">
        <f>IF(D141="","",VLOOKUP(D141,T_MEDIDAS[],2,FALSE))</f>
        <v>Medida 22</v>
      </c>
      <c r="F141" s="13" t="str">
        <f>IF(D141="","",VLOOKUP(D141,T_MEDIDAS[],3,FALSE))</f>
        <v>Prevención</v>
      </c>
      <c r="G141" s="13" t="str">
        <f>IF(D141="","",VLOOKUP(D141,T_MEDIDAS[],6,FALSE))</f>
        <v>Implantación de adoquines y pavimento drenante para disminuir el calor absorbido por el pavimento y la temperatura superficial</v>
      </c>
      <c r="H141" s="25">
        <f>IF(D141="","",VLOOKUP(D141,T_MEDIDAS[],21,FALSE))</f>
        <v>1</v>
      </c>
      <c r="I141" s="25" t="str">
        <f>IF(D141="","",VLOOKUP(D141,T_MEDIDAS[],11,FALSE))</f>
        <v>€€€</v>
      </c>
      <c r="J141" s="46" t="str">
        <f>IF(D141="","",MID(VLOOKUP(D141,T_MEDIDAS[],20,FALSE),FIND(". ",VLOOKUP(D141,T_MEDIDAS[],20,FALSE))+2,FIND(" (",VLOOKUP(D141,T_MEDIDAS[],20,FALSE))-FIND(".",VLOOKUP(D141,T_MEDIDAS[],20,FALSE))-2))</f>
        <v>Sin Riesgo</v>
      </c>
      <c r="K141" s="51">
        <f>IF(D141="","",VLOOKUP(D141,T_MEDIDAS[],66,FALSE))</f>
        <v>137.50000022</v>
      </c>
      <c r="L141" s="61"/>
      <c r="M141" s="61"/>
      <c r="N141" s="61"/>
      <c r="O141" s="61"/>
      <c r="P141" s="61"/>
      <c r="Q141" s="61"/>
      <c r="R141" s="61"/>
      <c r="S141" s="55"/>
    </row>
    <row r="142" spans="1:19" ht="50.1" customHeight="1">
      <c r="A142" s="61"/>
      <c r="B142" s="55"/>
      <c r="C142" s="61"/>
      <c r="D142" s="12">
        <f>IF( ISERROR(VLOOKUP(ROW(C142)-9,T_MEDIDAS[],2,FALSE)), "", ROW(C142)-9 )</f>
        <v>133</v>
      </c>
      <c r="E142" s="12" t="str">
        <f>IF(D142="","",VLOOKUP(D142,T_MEDIDAS[],2,FALSE))</f>
        <v>Medida 30</v>
      </c>
      <c r="F142" s="17" t="str">
        <f>IF(D142="","",VLOOKUP(D142,T_MEDIDAS[],3,FALSE))</f>
        <v>Prevención</v>
      </c>
      <c r="G142" s="17" t="str">
        <f>IF(D142="","",VLOOKUP(D142,T_MEDIDAS[],6,FALSE))</f>
        <v>Instalación de sensores de temperatura en distintas zonas del municipio</v>
      </c>
      <c r="H142" s="24">
        <f>IF(D142="","",VLOOKUP(D142,T_MEDIDAS[],21,FALSE))</f>
        <v>1</v>
      </c>
      <c r="I142" s="24" t="str">
        <f>IF(D142="","",VLOOKUP(D142,T_MEDIDAS[],11,FALSE))</f>
        <v>€€</v>
      </c>
      <c r="J142" s="45" t="str">
        <f>IF(D142="","",MID(VLOOKUP(D142,T_MEDIDAS[],20,FALSE),FIND(". ",VLOOKUP(D142,T_MEDIDAS[],20,FALSE))+2,FIND(" (",VLOOKUP(D142,T_MEDIDAS[],20,FALSE))-FIND(".",VLOOKUP(D142,T_MEDIDAS[],20,FALSE))-2))</f>
        <v>Sin Riesgo</v>
      </c>
      <c r="K142" s="50">
        <f>IF(D142="","",VLOOKUP(D142,T_MEDIDAS[],66,FALSE))</f>
        <v>125.0000003</v>
      </c>
      <c r="L142" s="61"/>
      <c r="M142" s="61"/>
      <c r="N142" s="61"/>
      <c r="O142" s="61"/>
      <c r="P142" s="61"/>
      <c r="Q142" s="61"/>
      <c r="R142" s="61"/>
      <c r="S142" s="55"/>
    </row>
    <row r="143" spans="1:19" ht="50.1" customHeight="1">
      <c r="A143" s="61"/>
      <c r="B143" s="55"/>
      <c r="C143" s="61"/>
      <c r="D143" s="18">
        <f>IF( ISERROR(VLOOKUP(ROW(C143)-9,T_MEDIDAS[],2,FALSE)), "", ROW(C143)-9 )</f>
        <v>134</v>
      </c>
      <c r="E143" s="18" t="str">
        <f>IF(D143="","",VLOOKUP(D143,T_MEDIDAS[],2,FALSE))</f>
        <v>Medida 8</v>
      </c>
      <c r="F143" s="13" t="str">
        <f>IF(D143="","",VLOOKUP(D143,T_MEDIDAS[],3,FALSE))</f>
        <v>Prevención</v>
      </c>
      <c r="G143" s="13" t="str">
        <f>IF(D143="","",VLOOKUP(D143,T_MEDIDAS[],6,FALSE))</f>
        <v>Instalación de azoteas frescas o cubiertas verdes en edificios públicos</v>
      </c>
      <c r="H143" s="25">
        <f>IF(D143="","",VLOOKUP(D143,T_MEDIDAS[],21,FALSE))</f>
        <v>3</v>
      </c>
      <c r="I143" s="25" t="str">
        <f>IF(D143="","",VLOOKUP(D143,T_MEDIDAS[],11,FALSE))</f>
        <v>€€€</v>
      </c>
      <c r="J143" s="46" t="str">
        <f>IF(D143="","",MID(VLOOKUP(D143,T_MEDIDAS[],20,FALSE),FIND(". ",VLOOKUP(D143,T_MEDIDAS[],20,FALSE))+2,FIND(" (",VLOOKUP(D143,T_MEDIDAS[],20,FALSE))-FIND(".",VLOOKUP(D143,T_MEDIDAS[],20,FALSE))-2))</f>
        <v>Sin Riesgo</v>
      </c>
      <c r="K143" s="51">
        <f>IF(D143="","",VLOOKUP(D143,T_MEDIDAS[],66,FALSE))</f>
        <v>125.00000008000001</v>
      </c>
      <c r="L143" s="61"/>
      <c r="M143" s="61"/>
      <c r="N143" s="61"/>
      <c r="O143" s="61"/>
      <c r="P143" s="61"/>
      <c r="Q143" s="61"/>
      <c r="R143" s="61"/>
      <c r="S143" s="55"/>
    </row>
    <row r="144" spans="1:19" ht="50.1" customHeight="1">
      <c r="A144" s="61"/>
      <c r="B144" s="55"/>
      <c r="C144" s="61"/>
      <c r="D144" s="12">
        <f>IF( ISERROR(VLOOKUP(ROW(C144)-9,T_MEDIDAS[],2,FALSE)), "", ROW(C144)-9 )</f>
        <v>135</v>
      </c>
      <c r="E144" s="12" t="str">
        <f>IF(D144="","",VLOOKUP(D144,T_MEDIDAS[],2,FALSE))</f>
        <v>Medida 7</v>
      </c>
      <c r="F144" s="17" t="str">
        <f>IF(D144="","",VLOOKUP(D144,T_MEDIDAS[],3,FALSE))</f>
        <v>Prevención</v>
      </c>
      <c r="G144" s="17" t="str">
        <f>IF(D144="","",VLOOKUP(D144,T_MEDIDAS[],6,FALSE))</f>
        <v xml:space="preserve">Instalación de jardines laterales, consistente en la eliminación de una fila de baldosas de la calzada, que es remplazada por especies vegetales. El exceso de baldosas se utiliza para cercar el jardín. </v>
      </c>
      <c r="H144" s="24">
        <f>IF(D144="","",VLOOKUP(D144,T_MEDIDAS[],21,FALSE))</f>
        <v>2</v>
      </c>
      <c r="I144" s="24" t="str">
        <f>IF(D144="","",VLOOKUP(D144,T_MEDIDAS[],11,FALSE))</f>
        <v>€€€</v>
      </c>
      <c r="J144" s="45" t="str">
        <f>IF(D144="","",MID(VLOOKUP(D144,T_MEDIDAS[],20,FALSE),FIND(". ",VLOOKUP(D144,T_MEDIDAS[],20,FALSE))+2,FIND(" (",VLOOKUP(D144,T_MEDIDAS[],20,FALSE))-FIND(".",VLOOKUP(D144,T_MEDIDAS[],20,FALSE))-2))</f>
        <v>Sin Riesgo</v>
      </c>
      <c r="K144" s="50">
        <f>IF(D144="","",VLOOKUP(D144,T_MEDIDAS[],66,FALSE))</f>
        <v>125.00000007</v>
      </c>
      <c r="L144" s="61"/>
      <c r="M144" s="61"/>
      <c r="N144" s="61"/>
      <c r="O144" s="61"/>
      <c r="P144" s="61"/>
      <c r="Q144" s="61"/>
      <c r="R144" s="61"/>
      <c r="S144" s="55"/>
    </row>
    <row r="145" spans="1:19" ht="50.1" customHeight="1">
      <c r="A145" s="61"/>
      <c r="B145" s="55"/>
      <c r="C145" s="61"/>
      <c r="D145" s="18">
        <f>IF( ISERROR(VLOOKUP(ROW(C145)-9,T_MEDIDAS[],2,FALSE)), "", ROW(C145)-9 )</f>
        <v>136</v>
      </c>
      <c r="E145" s="18" t="str">
        <f>IF(D145="","",VLOOKUP(D145,T_MEDIDAS[],2,FALSE))</f>
        <v>Medida 105</v>
      </c>
      <c r="F145" s="13" t="str">
        <f>IF(D145="","",VLOOKUP(D145,T_MEDIDAS[],3,FALSE))</f>
        <v>Respuesta inmediata</v>
      </c>
      <c r="G145" s="13" t="str">
        <f>IF(D145="","",VLOOKUP(D145,T_MEDIDAS[],6,FALSE))</f>
        <v>Instalación de sombrajes temporales para zonas de aparcamiento de trabajadores en el exterior, sin alternativa de aparcamiento cubierto</v>
      </c>
      <c r="H145" s="25">
        <f>IF(D145="","",VLOOKUP(D145,T_MEDIDAS[],21,FALSE))</f>
        <v>1</v>
      </c>
      <c r="I145" s="25" t="str">
        <f>IF(D145="","",VLOOKUP(D145,T_MEDIDAS[],11,FALSE))</f>
        <v>€€</v>
      </c>
      <c r="J145" s="46" t="str">
        <f>IF(D145="","",MID(VLOOKUP(D145,T_MEDIDAS[],20,FALSE),FIND(". ",VLOOKUP(D145,T_MEDIDAS[],20,FALSE))+2,FIND(" (",VLOOKUP(D145,T_MEDIDAS[],20,FALSE))-FIND(".",VLOOKUP(D145,T_MEDIDAS[],20,FALSE))-2))</f>
        <v>Alto</v>
      </c>
      <c r="K145" s="51">
        <f>IF(D145="","",VLOOKUP(D145,T_MEDIDAS[],66,FALSE))</f>
        <v>112.50000104999999</v>
      </c>
      <c r="L145" s="61"/>
      <c r="M145" s="61"/>
      <c r="N145" s="61"/>
      <c r="O145" s="61"/>
      <c r="P145" s="61"/>
      <c r="Q145" s="61"/>
      <c r="R145" s="61"/>
      <c r="S145" s="55"/>
    </row>
    <row r="146" spans="1:19" ht="50.1" customHeight="1">
      <c r="A146" s="61"/>
      <c r="B146" s="55"/>
      <c r="C146" s="61"/>
      <c r="D146" s="12">
        <f>IF( ISERROR(VLOOKUP(ROW(C146)-9,T_MEDIDAS[],2,FALSE)), "", ROW(C146)-9 )</f>
        <v>137</v>
      </c>
      <c r="E146" s="12" t="str">
        <f>IF(D146="","",VLOOKUP(D146,T_MEDIDAS[],2,FALSE))</f>
        <v>Medida 55</v>
      </c>
      <c r="F146" s="17" t="str">
        <f>IF(D146="","",VLOOKUP(D146,T_MEDIDAS[],3,FALSE))</f>
        <v>Prevención</v>
      </c>
      <c r="G146" s="17" t="str">
        <f>IF(D146="","",VLOOKUP(D146,T_MEDIDAS[],6,FALSE))</f>
        <v>Renovación de vehículos del parque móvil municipal que carecen de aire acondicionado</v>
      </c>
      <c r="H146" s="24">
        <f>IF(D146="","",VLOOKUP(D146,T_MEDIDAS[],21,FALSE))</f>
        <v>1</v>
      </c>
      <c r="I146" s="24" t="str">
        <f>IF(D146="","",VLOOKUP(D146,T_MEDIDAS[],11,FALSE))</f>
        <v>€€€</v>
      </c>
      <c r="J146" s="45" t="str">
        <f>IF(D146="","",MID(VLOOKUP(D146,T_MEDIDAS[],20,FALSE),FIND(". ",VLOOKUP(D146,T_MEDIDAS[],20,FALSE))+2,FIND(" (",VLOOKUP(D146,T_MEDIDAS[],20,FALSE))-FIND(".",VLOOKUP(D146,T_MEDIDAS[],20,FALSE))-2))</f>
        <v>Sin Riesgo</v>
      </c>
      <c r="K146" s="50">
        <f>IF(D146="","",VLOOKUP(D146,T_MEDIDAS[],66,FALSE))</f>
        <v>112.50000055</v>
      </c>
      <c r="L146" s="61"/>
      <c r="M146" s="61"/>
      <c r="N146" s="61"/>
      <c r="O146" s="61"/>
      <c r="P146" s="61"/>
      <c r="Q146" s="61"/>
      <c r="R146" s="61"/>
      <c r="S146" s="55"/>
    </row>
    <row r="147" spans="1:19" ht="50.1" customHeight="1">
      <c r="A147" s="61"/>
      <c r="B147" s="55"/>
      <c r="C147" s="61"/>
      <c r="D147" s="18">
        <f>IF( ISERROR(VLOOKUP(ROW(C147)-9,T_MEDIDAS[],2,FALSE)), "", ROW(C147)-9 )</f>
        <v>138</v>
      </c>
      <c r="E147" s="18" t="str">
        <f>IF(D147="","",VLOOKUP(D147,T_MEDIDAS[],2,FALSE))</f>
        <v>Medida 54</v>
      </c>
      <c r="F147" s="13" t="str">
        <f>IF(D147="","",VLOOKUP(D147,T_MEDIDAS[],3,FALSE))</f>
        <v>Prevención</v>
      </c>
      <c r="G147" s="13" t="str">
        <f>IF(D147="","",VLOOKUP(D147,T_MEDIDAS[],6,FALSE))</f>
        <v>Realización de obras para mejorar el aislamiento y la eficiencia energética de edificios e instalaciones municipales de mayor edad edificatoria</v>
      </c>
      <c r="H147" s="25">
        <f>IF(D147="","",VLOOKUP(D147,T_MEDIDAS[],21,FALSE))</f>
        <v>4</v>
      </c>
      <c r="I147" s="25" t="str">
        <f>IF(D147="","",VLOOKUP(D147,T_MEDIDAS[],11,FALSE))</f>
        <v>€€€</v>
      </c>
      <c r="J147" s="46" t="str">
        <f>IF(D147="","",MID(VLOOKUP(D147,T_MEDIDAS[],20,FALSE),FIND(". ",VLOOKUP(D147,T_MEDIDAS[],20,FALSE))+2,FIND(" (",VLOOKUP(D147,T_MEDIDAS[],20,FALSE))-FIND(".",VLOOKUP(D147,T_MEDIDAS[],20,FALSE))-2))</f>
        <v>Sin Riesgo</v>
      </c>
      <c r="K147" s="51">
        <f>IF(D147="","",VLOOKUP(D147,T_MEDIDAS[],66,FALSE))</f>
        <v>112.50000054</v>
      </c>
      <c r="L147" s="61"/>
      <c r="M147" s="61"/>
      <c r="N147" s="61"/>
      <c r="O147" s="61"/>
      <c r="P147" s="61"/>
      <c r="Q147" s="61"/>
      <c r="R147" s="61"/>
      <c r="S147" s="55"/>
    </row>
    <row r="148" spans="1:19" ht="50.1" customHeight="1">
      <c r="A148" s="61"/>
      <c r="B148" s="55"/>
      <c r="C148" s="61"/>
      <c r="D148" s="12">
        <f>IF( ISERROR(VLOOKUP(ROW(C148)-9,T_MEDIDAS[],2,FALSE)), "", ROW(C148)-9 )</f>
        <v>139</v>
      </c>
      <c r="E148" s="12" t="str">
        <f>IF(D148="","",VLOOKUP(D148,T_MEDIDAS[],2,FALSE))</f>
        <v>Medida 26</v>
      </c>
      <c r="F148" s="17" t="str">
        <f>IF(D148="","",VLOOKUP(D148,T_MEDIDAS[],3,FALSE))</f>
        <v>Prevención</v>
      </c>
      <c r="G148" s="17" t="str">
        <f>IF(D148="","",VLOOKUP(D148,T_MEDIDAS[],6,FALSE))</f>
        <v>Instalación de pérgolas fotovoltaicas en espacios abiertos, como aparcamientos o parques infantiles</v>
      </c>
      <c r="H148" s="24">
        <f>IF(D148="","",VLOOKUP(D148,T_MEDIDAS[],21,FALSE))</f>
        <v>1</v>
      </c>
      <c r="I148" s="24" t="str">
        <f>IF(D148="","",VLOOKUP(D148,T_MEDIDAS[],11,FALSE))</f>
        <v>€€€</v>
      </c>
      <c r="J148" s="45" t="str">
        <f>IF(D148="","",MID(VLOOKUP(D148,T_MEDIDAS[],20,FALSE),FIND(". ",VLOOKUP(D148,T_MEDIDAS[],20,FALSE))+2,FIND(" (",VLOOKUP(D148,T_MEDIDAS[],20,FALSE))-FIND(".",VLOOKUP(D148,T_MEDIDAS[],20,FALSE))-2))</f>
        <v>Sin Riesgo</v>
      </c>
      <c r="K148" s="50">
        <f>IF(D148="","",VLOOKUP(D148,T_MEDIDAS[],66,FALSE))</f>
        <v>112.50000025999999</v>
      </c>
      <c r="L148" s="61"/>
      <c r="M148" s="61"/>
      <c r="N148" s="61"/>
      <c r="O148" s="61"/>
      <c r="P148" s="61"/>
      <c r="Q148" s="61"/>
      <c r="R148" s="61"/>
      <c r="S148" s="55"/>
    </row>
    <row r="149" spans="1:19" ht="50.1" customHeight="1">
      <c r="A149" s="61"/>
      <c r="B149" s="55"/>
      <c r="C149" s="61"/>
      <c r="D149" s="18">
        <f>IF( ISERROR(VLOOKUP(ROW(C149)-9,T_MEDIDAS[],2,FALSE)), "", ROW(C149)-9 )</f>
        <v>140</v>
      </c>
      <c r="E149" s="18" t="str">
        <f>IF(D149="","",VLOOKUP(D149,T_MEDIDAS[],2,FALSE))</f>
        <v>Medida 10</v>
      </c>
      <c r="F149" s="13" t="str">
        <f>IF(D149="","",VLOOKUP(D149,T_MEDIDAS[],3,FALSE))</f>
        <v>Prevención</v>
      </c>
      <c r="G149" s="13" t="str">
        <f>IF(D149="","",VLOOKUP(D149,T_MEDIDAS[],6,FALSE))</f>
        <v>Creación de anillo verde bordeando el centro urbano para minimizar el efecto isla de calor</v>
      </c>
      <c r="H149" s="25">
        <f>IF(D149="","",VLOOKUP(D149,T_MEDIDAS[],21,FALSE))</f>
        <v>2</v>
      </c>
      <c r="I149" s="25" t="str">
        <f>IF(D149="","",VLOOKUP(D149,T_MEDIDAS[],11,FALSE))</f>
        <v>€€€</v>
      </c>
      <c r="J149" s="46" t="str">
        <f>IF(D149="","",MID(VLOOKUP(D149,T_MEDIDAS[],20,FALSE),FIND(". ",VLOOKUP(D149,T_MEDIDAS[],20,FALSE))+2,FIND(" (",VLOOKUP(D149,T_MEDIDAS[],20,FALSE))-FIND(".",VLOOKUP(D149,T_MEDIDAS[],20,FALSE))-2))</f>
        <v>Sin Riesgo</v>
      </c>
      <c r="K149" s="51">
        <f>IF(D149="","",VLOOKUP(D149,T_MEDIDAS[],66,FALSE))</f>
        <v>112.50000010000001</v>
      </c>
      <c r="L149" s="61"/>
      <c r="M149" s="61"/>
      <c r="N149" s="61"/>
      <c r="O149" s="61"/>
      <c r="P149" s="61"/>
      <c r="Q149" s="61"/>
      <c r="R149" s="61"/>
      <c r="S149" s="55"/>
    </row>
    <row r="150" spans="1:19" ht="50.1" customHeight="1">
      <c r="A150" s="61"/>
      <c r="B150" s="55"/>
      <c r="C150" s="61"/>
      <c r="D150" s="12">
        <f>IF( ISERROR(VLOOKUP(ROW(C150)-9,T_MEDIDAS[],2,FALSE)), "", ROW(C150)-9 )</f>
        <v>141</v>
      </c>
      <c r="E150" s="12" t="str">
        <f>IF(D150="","",VLOOKUP(D150,T_MEDIDAS[],2,FALSE))</f>
        <v>Medida 14</v>
      </c>
      <c r="F150" s="17" t="str">
        <f>IF(D150="","",VLOOKUP(D150,T_MEDIDAS[],3,FALSE))</f>
        <v>Prevención</v>
      </c>
      <c r="G150" s="17" t="str">
        <f>IF(D150="","",VLOOKUP(D150,T_MEDIDAS[],6,FALSE))</f>
        <v>Adecuación de áreas naturales que, por sus características, valores y capacidad sean adecuadas para servir como refugio climático a turistas y habitantes ante el aumento de las temperaturas derivado del cambio climático</v>
      </c>
      <c r="H150" s="24">
        <f>IF(D150="","",VLOOKUP(D150,T_MEDIDAS[],21,FALSE))</f>
        <v>1</v>
      </c>
      <c r="I150" s="24" t="str">
        <f>IF(D150="","",VLOOKUP(D150,T_MEDIDAS[],11,FALSE))</f>
        <v>€</v>
      </c>
      <c r="J150" s="45" t="str">
        <f>IF(D150="","",MID(VLOOKUP(D150,T_MEDIDAS[],20,FALSE),FIND(". ",VLOOKUP(D150,T_MEDIDAS[],20,FALSE))+2,FIND(" (",VLOOKUP(D150,T_MEDIDAS[],20,FALSE))-FIND(".",VLOOKUP(D150,T_MEDIDAS[],20,FALSE))-2))</f>
        <v>Sin Riesgo</v>
      </c>
      <c r="K150" s="50">
        <f>IF(D150="","",VLOOKUP(D150,T_MEDIDAS[],66,FALSE))</f>
        <v>100.00000013999998</v>
      </c>
      <c r="L150" s="61"/>
      <c r="M150" s="61"/>
      <c r="N150" s="61"/>
      <c r="O150" s="61"/>
      <c r="P150" s="61"/>
      <c r="Q150" s="61"/>
      <c r="R150" s="61"/>
      <c r="S150" s="55"/>
    </row>
    <row r="151" spans="1:19">
      <c r="A151" s="61"/>
      <c r="B151" s="55"/>
      <c r="C151" s="61"/>
      <c r="D151" s="61"/>
      <c r="E151" s="61"/>
      <c r="F151" s="61"/>
      <c r="G151" s="61"/>
      <c r="H151" s="61"/>
      <c r="I151" s="61"/>
      <c r="J151" s="61"/>
      <c r="K151" s="61"/>
      <c r="L151" s="61"/>
      <c r="M151" s="61"/>
      <c r="N151" s="61"/>
      <c r="O151" s="61"/>
      <c r="P151" s="61"/>
      <c r="Q151" s="61"/>
      <c r="R151" s="61"/>
      <c r="S151" s="55"/>
    </row>
    <row r="152" spans="1:19">
      <c r="A152" s="61"/>
      <c r="B152" s="55"/>
      <c r="C152" s="55"/>
      <c r="D152" s="55"/>
      <c r="E152" s="55"/>
      <c r="F152" s="55"/>
      <c r="G152" s="55"/>
      <c r="H152" s="55"/>
      <c r="I152" s="55"/>
      <c r="J152" s="55"/>
      <c r="K152" s="55"/>
      <c r="L152" s="55"/>
      <c r="M152" s="55"/>
      <c r="N152" s="55"/>
      <c r="O152" s="55"/>
      <c r="P152" s="55"/>
      <c r="Q152" s="55"/>
      <c r="R152" s="55"/>
      <c r="S152" s="55"/>
    </row>
  </sheetData>
  <sheetProtection algorithmName="SHA-512" hashValue="JZzYV7BuNqzZ9SSRNmeBb1nyeq3g9qv7jODlk/4/bYn4+MpoEI5o10VOv7q3ldKok22x5eiFFVMAKGflU4pn8Q==" saltValue="+iF1DYYfgRMEVm0JRIDgtA==" spinCount="100000" sheet="1" selectLockedCells="1" selectUnlockedCells="1"/>
  <mergeCells count="6">
    <mergeCell ref="M60:Q60"/>
    <mergeCell ref="D8:K8"/>
    <mergeCell ref="M27:Q27"/>
    <mergeCell ref="G2:R4"/>
    <mergeCell ref="M9:Q9"/>
    <mergeCell ref="M14:Q14"/>
  </mergeCells>
  <phoneticPr fontId="24" type="noConversion"/>
  <conditionalFormatting sqref="D10:K150">
    <cfRule type="expression" dxfId="70" priority="1">
      <formula>$D10&gt;=LARGE($D$10:$D$150,20)</formula>
    </cfRule>
  </conditionalFormatting>
  <printOptions horizontalCentered="1" verticalCentered="1"/>
  <pageMargins left="0.31496062992125984" right="0.31496062992125984" top="0.15748031496062992" bottom="0.15748031496062992" header="0" footer="0"/>
  <pageSetup paperSize="9" scale="87" fitToHeight="0" orientation="landscape" r:id="rId1"/>
  <colBreaks count="1" manualBreakCount="1">
    <brk id="11" min="7" max="58" man="1"/>
  </colBreaks>
  <drawing r:id="rId2"/>
  <extLst>
    <ext xmlns:x14="http://schemas.microsoft.com/office/spreadsheetml/2009/9/main" uri="{05C60535-1F16-4fd2-B633-F4F36F0B64E0}">
      <x14:sparklineGroups xmlns:xm="http://schemas.microsoft.com/office/excel/2006/main">
        <x14:sparklineGroup manualMax="0" manualMin="0" type="column" displayEmptyCellsAs="gap" high="1" low="1" minAxisType="group" maxAxisType="group" xr2:uid="{635B6450-FAE0-4C4D-B76F-51CE6216A595}">
          <x14:colorSeries rgb="FFFFC000"/>
          <x14:colorNegative rgb="FFD00000"/>
          <x14:colorAxis rgb="FF000000"/>
          <x14:colorMarkers rgb="FFD00000"/>
          <x14:colorFirst rgb="FFD00000"/>
          <x14:colorLast rgb="FFD00000"/>
          <x14:colorHigh theme="9" tint="-0.249977111117893"/>
          <x14:colorLow rgb="FFC00000"/>
          <x14:sparklines>
            <x14:sparkline>
              <xm:f>'3.RESULTADOS'!N29:P29</xm:f>
              <xm:sqref>Q29</xm:sqref>
            </x14:sparkline>
            <x14:sparkline>
              <xm:f>'3.RESULTADOS'!N30:P30</xm:f>
              <xm:sqref>Q30</xm:sqref>
            </x14:sparkline>
            <x14:sparkline>
              <xm:f>'3.RESULTADOS'!N31:P31</xm:f>
              <xm:sqref>Q31</xm:sqref>
            </x14:sparkline>
            <x14:sparkline>
              <xm:f>'3.RESULTADOS'!N32:P32</xm:f>
              <xm:sqref>Q32</xm:sqref>
            </x14:sparkline>
            <x14:sparkline>
              <xm:f>'3.RESULTADOS'!N33:P33</xm:f>
              <xm:sqref>Q33</xm:sqref>
            </x14:sparkline>
            <x14:sparkline>
              <xm:f>'3.RESULTADOS'!N34:P34</xm:f>
              <xm:sqref>Q34</xm:sqref>
            </x14:sparkline>
            <x14:sparkline>
              <xm:f>'3.RESULTADOS'!N35:P35</xm:f>
              <xm:sqref>Q35</xm:sqref>
            </x14:sparkline>
            <x14:sparkline>
              <xm:f>'3.RESULTADOS'!N36:P36</xm:f>
              <xm:sqref>Q36</xm:sqref>
            </x14:sparkline>
          </x14:sparklines>
        </x14:sparklineGroup>
        <x14:sparklineGroup manualMax="0" manualMin="0" type="column" displayEmptyCellsAs="gap" high="1" low="1" minAxisType="group" maxAxisType="group" xr2:uid="{42D74CFE-7169-4242-A4FD-1A3DABABF6DF}">
          <x14:colorSeries rgb="FFFFC000"/>
          <x14:colorNegative rgb="FFD00000"/>
          <x14:colorAxis rgb="FF000000"/>
          <x14:colorMarkers rgb="FFD00000"/>
          <x14:colorFirst rgb="FFD00000"/>
          <x14:colorLast rgb="FFD00000"/>
          <x14:colorHigh theme="9" tint="-0.249977111117893"/>
          <x14:colorLow rgb="FFC00000"/>
          <x14:sparklines>
            <x14:sparkline>
              <xm:f>'3.RESULTADOS'!N66:P66</xm:f>
              <xm:sqref>Q66</xm:sqref>
            </x14:sparkline>
          </x14:sparklines>
        </x14:sparklineGroup>
        <x14:sparklineGroup manualMax="0" manualMin="0" type="column" displayEmptyCellsAs="gap" high="1" low="1" minAxisType="group" maxAxisType="group" xr2:uid="{92D73B75-EFD0-41EB-88E5-0B82F5D57617}">
          <x14:colorSeries rgb="FFFFC000"/>
          <x14:colorNegative rgb="FFD00000"/>
          <x14:colorAxis rgb="FF000000"/>
          <x14:colorMarkers rgb="FFD00000"/>
          <x14:colorFirst rgb="FFD00000"/>
          <x14:colorLast rgb="FFD00000"/>
          <x14:colorHigh theme="9" tint="-0.249977111117893"/>
          <x14:colorLow rgb="FFC00000"/>
          <x14:sparklines>
            <x14:sparkline>
              <xm:f>'3.RESULTADOS'!N37:P37</xm:f>
              <xm:sqref>Q37</xm:sqref>
            </x14:sparkline>
          </x14:sparklines>
        </x14:sparklineGroup>
        <x14:sparklineGroup manualMax="0" manualMin="0" type="column" displayEmptyCellsAs="gap" high="1" low="1" minAxisType="group" maxAxisType="group" xr2:uid="{C7620DD8-D4D3-436B-ACB5-78E4A8AA4D63}">
          <x14:colorSeries rgb="FFFFC000"/>
          <x14:colorNegative rgb="FFD00000"/>
          <x14:colorAxis rgb="FF000000"/>
          <x14:colorMarkers rgb="FFD00000"/>
          <x14:colorFirst rgb="FFD00000"/>
          <x14:colorLast rgb="FFD00000"/>
          <x14:colorHigh theme="9" tint="-0.249977111117893"/>
          <x14:colorLow rgb="FFC00000"/>
          <x14:sparklines>
            <x14:sparkline>
              <xm:f>'3.RESULTADOS'!N62:P62</xm:f>
              <xm:sqref>Q62</xm:sqref>
            </x14:sparkline>
            <x14:sparkline>
              <xm:f>'3.RESULTADOS'!N63:P63</xm:f>
              <xm:sqref>Q63</xm:sqref>
            </x14:sparkline>
            <x14:sparkline>
              <xm:f>'3.RESULTADOS'!N64:P64</xm:f>
              <xm:sqref>Q64</xm:sqref>
            </x14:sparkline>
            <x14:sparkline>
              <xm:f>'3.RESULTADOS'!N65:P65</xm:f>
              <xm:sqref>Q65</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84F9B-CA77-41D1-8767-96D09A15194B}">
  <sheetPr codeName="Hoja6">
    <tabColor rgb="FF1C4976"/>
    <pageSetUpPr fitToPage="1"/>
  </sheetPr>
  <dimension ref="A1:BS172"/>
  <sheetViews>
    <sheetView showGridLines="0" zoomScaleNormal="100" workbookViewId="0">
      <selection activeCell="F13" sqref="F13"/>
    </sheetView>
  </sheetViews>
  <sheetFormatPr defaultColWidth="0" defaultRowHeight="14.45" zeroHeight="1"/>
  <cols>
    <col min="1" max="1" width="10.5703125" customWidth="1"/>
    <col min="2" max="2" width="2" customWidth="1"/>
    <col min="3" max="3" width="6.5703125" customWidth="1"/>
    <col min="4" max="4" width="8.85546875" hidden="1" customWidth="1"/>
    <col min="5" max="5" width="10.42578125" bestFit="1" customWidth="1"/>
    <col min="6" max="6" width="26.140625" hidden="1" customWidth="1"/>
    <col min="7" max="7" width="13.42578125" hidden="1" customWidth="1"/>
    <col min="8" max="8" width="24" style="21" hidden="1" customWidth="1"/>
    <col min="9" max="9" width="100.85546875" style="4" customWidth="1"/>
    <col min="10" max="10" width="50.85546875" customWidth="1"/>
    <col min="11" max="11" width="7.5703125" hidden="1" customWidth="1"/>
    <col min="12" max="12" width="8.5703125" hidden="1" customWidth="1"/>
    <col min="13" max="13" width="4.42578125" style="5" hidden="1" customWidth="1"/>
    <col min="14" max="14" width="9.140625" hidden="1" customWidth="1"/>
    <col min="15" max="16" width="7.5703125" hidden="1" customWidth="1"/>
    <col min="17" max="17" width="9.140625" hidden="1" customWidth="1"/>
    <col min="18" max="18" width="7.5703125" hidden="1" customWidth="1"/>
    <col min="19" max="19" width="3.140625" customWidth="1"/>
    <col min="20" max="21" width="2.42578125" customWidth="1"/>
    <col min="22" max="22" width="4.42578125" style="1" customWidth="1"/>
    <col min="23" max="23" width="9.42578125" style="1" hidden="1" customWidth="1"/>
    <col min="24" max="24" width="0.42578125" style="1" hidden="1" customWidth="1"/>
    <col min="25" max="25" width="9.42578125" style="1" bestFit="1" customWidth="1"/>
    <col min="26" max="26" width="10" style="1" hidden="1" customWidth="1"/>
    <col min="27" max="27" width="13.42578125" style="1" bestFit="1" customWidth="1"/>
    <col min="28" max="28" width="11.85546875" style="1" hidden="1" customWidth="1"/>
    <col min="29" max="29" width="9.85546875" style="1" bestFit="1" customWidth="1"/>
    <col min="30" max="30" width="9.140625" style="1" hidden="1" customWidth="1"/>
    <col min="31" max="31" width="9" style="1" customWidth="1"/>
    <col min="32" max="32" width="8.42578125" style="1" hidden="1" customWidth="1"/>
    <col min="33" max="33" width="10" style="1" bestFit="1" customWidth="1"/>
    <col min="34" max="34" width="11.140625" style="1" hidden="1" customWidth="1"/>
    <col min="35" max="35" width="11.140625" style="1" bestFit="1" customWidth="1"/>
    <col min="36" max="36" width="9.5703125" style="1" hidden="1" customWidth="1"/>
    <col min="37" max="37" width="10.140625" style="1" bestFit="1" customWidth="1"/>
    <col min="38" max="38" width="7" style="1" hidden="1" customWidth="1"/>
    <col min="39" max="39" width="21.42578125" style="1" bestFit="1" customWidth="1"/>
    <col min="40" max="40" width="8.140625" style="1" hidden="1" customWidth="1"/>
    <col min="41" max="41" width="19.42578125" style="1" bestFit="1" customWidth="1"/>
    <col min="42" max="42" width="9.140625" style="1" hidden="1" customWidth="1"/>
    <col min="43" max="43" width="11.5703125" style="1" bestFit="1" customWidth="1"/>
    <col min="44" max="44" width="8.42578125" hidden="1" customWidth="1"/>
    <col min="45" max="45" width="13.85546875" bestFit="1" customWidth="1"/>
    <col min="46" max="46" width="9.42578125" hidden="1" customWidth="1"/>
    <col min="47" max="47" width="7.140625" hidden="1" customWidth="1"/>
    <col min="48" max="48" width="7.5703125" hidden="1" customWidth="1"/>
    <col min="49" max="49" width="8.42578125" hidden="1" customWidth="1"/>
    <col min="50" max="51" width="9.42578125" hidden="1" customWidth="1"/>
    <col min="52" max="52" width="11.140625" hidden="1" customWidth="1"/>
    <col min="53" max="53" width="16.140625" hidden="1" customWidth="1"/>
    <col min="54" max="54" width="16.5703125" hidden="1" customWidth="1"/>
    <col min="55" max="55" width="17.85546875" hidden="1" customWidth="1"/>
    <col min="56" max="56" width="9.42578125" hidden="1" customWidth="1"/>
    <col min="57" max="57" width="9.85546875" hidden="1" customWidth="1"/>
    <col min="58" max="58" width="16.42578125" hidden="1" customWidth="1"/>
    <col min="59" max="59" width="20.42578125" hidden="1" customWidth="1"/>
    <col min="60" max="60" width="15.42578125" hidden="1" customWidth="1"/>
    <col min="61" max="62" width="10.5703125" hidden="1" customWidth="1"/>
    <col min="63" max="63" width="15.140625" hidden="1" customWidth="1"/>
    <col min="64" max="64" width="15" hidden="1" customWidth="1"/>
    <col min="65" max="65" width="9.140625" hidden="1" customWidth="1"/>
    <col min="66" max="66" width="12.5703125" hidden="1" customWidth="1"/>
    <col min="67" max="67" width="14.5703125" hidden="1" customWidth="1"/>
    <col min="68" max="69" width="9.42578125" hidden="1" customWidth="1"/>
    <col min="70" max="70" width="6.5703125" customWidth="1"/>
    <col min="71" max="71" width="2" customWidth="1"/>
    <col min="72" max="16384" width="11.5703125" hidden="1"/>
  </cols>
  <sheetData>
    <row r="1" spans="1:71">
      <c r="A1" s="84"/>
      <c r="B1" s="90"/>
      <c r="C1" s="90"/>
      <c r="D1" s="90"/>
      <c r="E1" s="90"/>
      <c r="F1" s="90"/>
      <c r="G1" s="90"/>
      <c r="H1" s="90"/>
      <c r="I1" s="113"/>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BA1" s="90"/>
      <c r="BB1" s="90"/>
      <c r="BC1" s="90"/>
      <c r="BD1" s="90"/>
      <c r="BE1" s="90"/>
      <c r="BF1" s="90"/>
      <c r="BG1" s="90"/>
      <c r="BH1" s="90"/>
      <c r="BI1" s="90"/>
      <c r="BJ1" s="90"/>
      <c r="BK1" s="90"/>
      <c r="BL1" s="90"/>
      <c r="BM1" s="90"/>
      <c r="BN1" s="90"/>
      <c r="BO1" s="90"/>
      <c r="BP1" s="90"/>
      <c r="BQ1" s="90"/>
      <c r="BR1" s="90"/>
      <c r="BS1" s="90"/>
    </row>
    <row r="2" spans="1:71" ht="14.45" customHeight="1">
      <c r="A2" s="84"/>
      <c r="B2" s="90"/>
      <c r="C2" s="37"/>
      <c r="D2" s="37"/>
      <c r="E2" s="37"/>
      <c r="F2" s="37"/>
      <c r="G2" s="37"/>
      <c r="H2" s="167" t="s">
        <v>59</v>
      </c>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7"/>
      <c r="AM2" s="167"/>
      <c r="AN2" s="167"/>
      <c r="AO2" s="167"/>
      <c r="AP2" s="167"/>
      <c r="AQ2" s="167"/>
      <c r="AR2" s="167"/>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90"/>
    </row>
    <row r="3" spans="1:71" ht="14.45" customHeight="1">
      <c r="A3" s="84"/>
      <c r="B3" s="90"/>
      <c r="C3" s="37"/>
      <c r="D3" s="37"/>
      <c r="E3" s="37"/>
      <c r="F3" s="37"/>
      <c r="G3" s="3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c r="AK3" s="167"/>
      <c r="AL3" s="167"/>
      <c r="AM3" s="167"/>
      <c r="AN3" s="167"/>
      <c r="AO3" s="167"/>
      <c r="AP3" s="167"/>
      <c r="AQ3" s="167"/>
      <c r="AR3" s="167"/>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90"/>
    </row>
    <row r="4" spans="1:71" ht="14.45" customHeight="1">
      <c r="A4" s="84"/>
      <c r="B4" s="90"/>
      <c r="C4" s="37"/>
      <c r="D4" s="37"/>
      <c r="E4" s="37"/>
      <c r="F4" s="37"/>
      <c r="G4" s="3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90"/>
    </row>
    <row r="5" spans="1:71" ht="27">
      <c r="A5" s="84"/>
      <c r="B5" s="90"/>
      <c r="C5" s="86" t="s">
        <v>100</v>
      </c>
      <c r="D5" s="86"/>
      <c r="E5" s="86"/>
      <c r="F5" s="84"/>
      <c r="G5" s="84"/>
      <c r="H5" s="83"/>
      <c r="I5" s="114"/>
      <c r="J5" s="84"/>
      <c r="K5" s="84"/>
      <c r="L5" s="84"/>
      <c r="M5" s="88"/>
      <c r="N5" s="84"/>
      <c r="O5" s="84"/>
      <c r="P5" s="84"/>
      <c r="Q5" s="84"/>
      <c r="R5" s="84"/>
      <c r="S5" s="84"/>
      <c r="T5" s="84"/>
      <c r="U5" s="84"/>
      <c r="V5" s="89"/>
      <c r="W5" s="89"/>
      <c r="X5" s="89"/>
      <c r="Y5" s="89"/>
      <c r="Z5" s="89"/>
      <c r="AA5" s="89"/>
      <c r="AB5" s="89"/>
      <c r="AC5" s="89"/>
      <c r="AD5" s="89"/>
      <c r="AE5" s="89"/>
      <c r="AF5" s="89"/>
      <c r="AG5" s="89"/>
      <c r="AH5" s="89"/>
      <c r="AI5" s="89"/>
      <c r="AJ5" s="89"/>
      <c r="AK5" s="89"/>
      <c r="AL5" s="89"/>
      <c r="AM5" s="89"/>
      <c r="AN5" s="89"/>
      <c r="AO5" s="89"/>
      <c r="AP5" s="89"/>
      <c r="AQ5" s="89"/>
      <c r="AR5" s="84"/>
      <c r="AS5" s="84"/>
      <c r="AT5" s="84"/>
      <c r="AU5" s="84"/>
      <c r="AV5" s="84"/>
      <c r="AW5" s="84"/>
      <c r="AX5" s="84"/>
      <c r="AY5" s="84"/>
      <c r="AZ5" s="84"/>
      <c r="BA5" s="84"/>
      <c r="BB5" s="84"/>
      <c r="BC5" s="84"/>
      <c r="BD5" s="84"/>
      <c r="BE5" s="84"/>
      <c r="BF5" s="84"/>
      <c r="BG5" s="84"/>
      <c r="BH5" s="84"/>
      <c r="BI5" s="84"/>
      <c r="BJ5" s="84"/>
      <c r="BK5" s="84"/>
      <c r="BL5" s="84"/>
      <c r="BM5" s="84"/>
      <c r="BN5" s="84"/>
      <c r="BO5" s="84"/>
      <c r="BP5" s="84"/>
      <c r="BQ5" s="84"/>
      <c r="BR5" s="84"/>
      <c r="BS5" s="90"/>
    </row>
    <row r="6" spans="1:71">
      <c r="A6" s="84"/>
      <c r="B6" s="90"/>
      <c r="C6" s="87" t="s">
        <v>101</v>
      </c>
      <c r="D6" s="87"/>
      <c r="E6" s="87"/>
      <c r="F6" s="84"/>
      <c r="G6" s="84"/>
      <c r="H6" s="83"/>
      <c r="I6" s="114"/>
      <c r="J6" s="84"/>
      <c r="K6" s="84"/>
      <c r="L6" s="84"/>
      <c r="M6" s="88"/>
      <c r="N6" s="89"/>
      <c r="O6" s="84"/>
      <c r="P6" s="84"/>
      <c r="Q6" s="84"/>
      <c r="R6" s="84"/>
      <c r="S6" s="84"/>
      <c r="T6" s="84"/>
      <c r="U6" s="84"/>
      <c r="V6" s="89"/>
      <c r="W6" s="89"/>
      <c r="X6" s="89"/>
      <c r="Y6" s="89"/>
      <c r="Z6" s="89"/>
      <c r="AA6" s="89"/>
      <c r="AB6" s="89"/>
      <c r="AC6" s="89"/>
      <c r="AD6" s="89"/>
      <c r="AE6" s="89"/>
      <c r="AF6" s="89"/>
      <c r="AG6" s="89"/>
      <c r="AH6" s="89"/>
      <c r="AI6" s="89"/>
      <c r="AJ6" s="89"/>
      <c r="AK6" s="89"/>
      <c r="AL6" s="89"/>
      <c r="AM6" s="89"/>
      <c r="AN6" s="89"/>
      <c r="AO6" s="89"/>
      <c r="AP6" s="89"/>
      <c r="AQ6" s="89"/>
      <c r="AR6" s="84"/>
      <c r="AS6" s="84"/>
      <c r="AT6" s="84"/>
      <c r="AU6" s="84"/>
      <c r="AV6" s="84"/>
      <c r="AW6" s="84"/>
      <c r="AX6" s="84"/>
      <c r="AY6" s="84"/>
      <c r="AZ6" s="84"/>
      <c r="BA6" s="84"/>
      <c r="BB6" s="84"/>
      <c r="BC6" s="84"/>
      <c r="BD6" s="84"/>
      <c r="BE6" s="84"/>
      <c r="BF6" s="84"/>
      <c r="BG6" s="84"/>
      <c r="BH6" s="84"/>
      <c r="BI6" s="84"/>
      <c r="BJ6" s="84"/>
      <c r="BK6" s="84"/>
      <c r="BL6" s="84"/>
      <c r="BM6" s="84"/>
      <c r="BN6" s="84"/>
      <c r="BO6" s="84"/>
      <c r="BP6" s="84"/>
      <c r="BQ6" s="89"/>
      <c r="BR6" s="84"/>
      <c r="BS6" s="90"/>
    </row>
    <row r="7" spans="1:71">
      <c r="A7" s="84"/>
      <c r="B7" s="90"/>
      <c r="C7" s="84"/>
      <c r="D7" s="84"/>
      <c r="E7" s="84"/>
      <c r="F7" s="84"/>
      <c r="G7" s="84"/>
      <c r="H7" s="83"/>
      <c r="I7" s="114"/>
      <c r="J7" s="84"/>
      <c r="K7" s="84"/>
      <c r="L7" s="84"/>
      <c r="M7" s="88"/>
      <c r="N7" s="84"/>
      <c r="O7" s="84"/>
      <c r="P7" s="84"/>
      <c r="Q7" s="84"/>
      <c r="R7" s="84"/>
      <c r="S7" s="84"/>
      <c r="T7" s="84"/>
      <c r="U7" s="84"/>
      <c r="V7" s="89"/>
      <c r="W7" s="89"/>
      <c r="X7" s="89"/>
      <c r="Y7" s="89"/>
      <c r="Z7" s="89"/>
      <c r="AA7" s="89"/>
      <c r="AB7" s="89"/>
      <c r="AC7" s="89"/>
      <c r="AD7" s="89"/>
      <c r="AE7" s="89"/>
      <c r="AF7" s="89"/>
      <c r="AG7" s="89"/>
      <c r="AH7" s="89"/>
      <c r="AI7" s="89"/>
      <c r="AJ7" s="89"/>
      <c r="AK7" s="89"/>
      <c r="AL7" s="89"/>
      <c r="AM7" s="89"/>
      <c r="AN7" s="89"/>
      <c r="AO7" s="89"/>
      <c r="AP7" s="89"/>
      <c r="AQ7" s="89"/>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90"/>
    </row>
    <row r="8" spans="1:71">
      <c r="A8" s="84"/>
      <c r="B8" s="90"/>
      <c r="C8" s="84"/>
      <c r="D8" s="84"/>
      <c r="E8" s="84"/>
      <c r="F8" s="84"/>
      <c r="G8" s="84"/>
      <c r="H8" s="83"/>
      <c r="I8" s="114"/>
      <c r="J8" s="84"/>
      <c r="K8" s="84"/>
      <c r="L8" s="84"/>
      <c r="M8" s="88"/>
      <c r="N8" s="84"/>
      <c r="O8" s="84"/>
      <c r="P8" s="84"/>
      <c r="Q8" s="84"/>
      <c r="R8" s="84"/>
      <c r="S8" s="84"/>
      <c r="T8" s="84"/>
      <c r="U8" s="84"/>
      <c r="V8" s="89"/>
      <c r="W8" s="89"/>
      <c r="X8" s="89"/>
      <c r="Y8" s="89"/>
      <c r="Z8" s="89"/>
      <c r="AA8" s="89"/>
      <c r="AB8" s="89"/>
      <c r="AC8" s="89"/>
      <c r="AD8" s="89"/>
      <c r="AE8" s="89"/>
      <c r="AF8" s="89"/>
      <c r="AG8" s="89"/>
      <c r="AH8" s="89"/>
      <c r="AI8" s="89"/>
      <c r="AJ8" s="89"/>
      <c r="AK8" s="89"/>
      <c r="AL8" s="89"/>
      <c r="AM8" s="89"/>
      <c r="AN8" s="89"/>
      <c r="AO8" s="89"/>
      <c r="AP8" s="89"/>
      <c r="AQ8" s="89"/>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90"/>
    </row>
    <row r="9" spans="1:71">
      <c r="A9" s="84"/>
      <c r="B9" s="90"/>
      <c r="C9" s="84"/>
      <c r="D9" s="84"/>
      <c r="E9" s="84"/>
      <c r="F9" s="84"/>
      <c r="G9" s="84"/>
      <c r="H9" s="83"/>
      <c r="I9" s="114"/>
      <c r="J9" s="84"/>
      <c r="K9" s="84"/>
      <c r="L9" s="84"/>
      <c r="M9" s="88"/>
      <c r="N9" s="84"/>
      <c r="O9" s="84"/>
      <c r="P9" s="84"/>
      <c r="Q9" s="84"/>
      <c r="R9" s="84"/>
      <c r="S9" s="84"/>
      <c r="T9" s="84"/>
      <c r="U9" s="84"/>
      <c r="V9" s="89"/>
      <c r="W9" s="89"/>
      <c r="X9" s="89"/>
      <c r="Y9" s="89"/>
      <c r="Z9" s="89"/>
      <c r="AA9" s="89"/>
      <c r="AB9" s="89"/>
      <c r="AC9" s="89"/>
      <c r="AD9" s="89"/>
      <c r="AE9" s="89"/>
      <c r="AF9" s="89"/>
      <c r="AG9" s="89"/>
      <c r="AH9" s="89"/>
      <c r="AI9" s="89"/>
      <c r="AJ9" s="89"/>
      <c r="AK9" s="89"/>
      <c r="AL9" s="89"/>
      <c r="AM9" s="89"/>
      <c r="AN9" s="89"/>
      <c r="AO9" s="89"/>
      <c r="AP9" s="89"/>
      <c r="AQ9" s="89"/>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90"/>
    </row>
    <row r="10" spans="1:71">
      <c r="A10" s="84"/>
      <c r="B10" s="90"/>
      <c r="C10" s="84"/>
      <c r="D10" s="84"/>
      <c r="E10" s="84"/>
      <c r="F10" s="84"/>
      <c r="G10" s="84"/>
      <c r="H10" s="83"/>
      <c r="I10" s="114"/>
      <c r="J10" s="84"/>
      <c r="K10" s="84"/>
      <c r="L10" s="84"/>
      <c r="M10" s="88"/>
      <c r="N10" s="84"/>
      <c r="O10" s="84"/>
      <c r="P10" s="84"/>
      <c r="Q10" s="84"/>
      <c r="R10" s="84"/>
      <c r="S10" s="84"/>
      <c r="T10" s="84"/>
      <c r="U10" s="84"/>
      <c r="V10" s="89"/>
      <c r="W10" s="89"/>
      <c r="X10" s="89"/>
      <c r="Y10" s="89"/>
      <c r="Z10" s="89"/>
      <c r="AA10" s="89"/>
      <c r="AB10" s="89"/>
      <c r="AC10" s="89"/>
      <c r="AD10" s="89"/>
      <c r="AE10" s="89"/>
      <c r="AF10" s="89"/>
      <c r="AG10" s="89"/>
      <c r="AH10" s="89"/>
      <c r="AI10" s="89"/>
      <c r="AJ10" s="89"/>
      <c r="AK10" s="89"/>
      <c r="AL10" s="89"/>
      <c r="AM10" s="89"/>
      <c r="AN10" s="89"/>
      <c r="AO10" s="89"/>
      <c r="AP10" s="89"/>
      <c r="AQ10" s="89"/>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90"/>
    </row>
    <row r="11" spans="1:71">
      <c r="A11" s="84"/>
      <c r="B11" s="90"/>
      <c r="C11" s="84"/>
      <c r="D11" s="84"/>
      <c r="E11" s="84"/>
      <c r="F11" s="84"/>
      <c r="G11" s="84"/>
      <c r="H11" s="83"/>
      <c r="I11" s="114"/>
      <c r="J11" s="84"/>
      <c r="K11" s="84"/>
      <c r="L11" s="84"/>
      <c r="M11" s="88"/>
      <c r="N11" s="84"/>
      <c r="O11" s="84"/>
      <c r="P11" s="84"/>
      <c r="Q11" s="84"/>
      <c r="R11" s="84"/>
      <c r="S11" s="84"/>
      <c r="T11" s="84"/>
      <c r="U11" s="84"/>
      <c r="V11" s="89"/>
      <c r="W11" s="89"/>
      <c r="X11" s="89"/>
      <c r="Y11" s="89"/>
      <c r="Z11" s="89"/>
      <c r="AA11" s="89"/>
      <c r="AB11" s="89"/>
      <c r="AC11" s="89"/>
      <c r="AD11" s="89"/>
      <c r="AE11" s="89"/>
      <c r="AF11" s="89"/>
      <c r="AG11" s="89"/>
      <c r="AH11" s="89"/>
      <c r="AI11" s="89"/>
      <c r="AJ11" s="89"/>
      <c r="AK11" s="89"/>
      <c r="AL11" s="89"/>
      <c r="AM11" s="89"/>
      <c r="AN11" s="91"/>
      <c r="AO11" s="91"/>
      <c r="AP11" s="91"/>
      <c r="AQ11" s="91"/>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84"/>
      <c r="BS11" s="90"/>
    </row>
    <row r="12" spans="1:71">
      <c r="A12" s="84"/>
      <c r="B12" s="90"/>
      <c r="C12" s="84"/>
      <c r="D12" s="84"/>
      <c r="E12" s="84"/>
      <c r="F12" s="84"/>
      <c r="G12" s="84"/>
      <c r="H12" s="83"/>
      <c r="I12" s="114"/>
      <c r="J12" s="84"/>
      <c r="K12" s="84"/>
      <c r="L12" s="84"/>
      <c r="M12" s="88"/>
      <c r="N12" s="84"/>
      <c r="O12" s="84"/>
      <c r="P12" s="84"/>
      <c r="Q12" s="84"/>
      <c r="R12" s="84"/>
      <c r="S12" s="84"/>
      <c r="T12" s="84"/>
      <c r="U12" s="84"/>
      <c r="V12" s="89"/>
      <c r="W12" s="89"/>
      <c r="X12" s="89"/>
      <c r="Y12" s="89"/>
      <c r="Z12" s="89"/>
      <c r="AA12" s="89"/>
      <c r="AB12" s="89"/>
      <c r="AC12" s="89"/>
      <c r="AD12" s="89"/>
      <c r="AE12" s="89"/>
      <c r="AF12" s="89"/>
      <c r="AG12" s="89"/>
      <c r="AH12" s="89"/>
      <c r="AI12" s="89"/>
      <c r="AJ12" s="89"/>
      <c r="AK12" s="89"/>
      <c r="AL12" s="89"/>
      <c r="AM12" s="89"/>
      <c r="AN12" s="91"/>
      <c r="AO12" s="91"/>
      <c r="AP12" s="91"/>
      <c r="AQ12" s="91"/>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84"/>
      <c r="BS12" s="90"/>
    </row>
    <row r="13" spans="1:71">
      <c r="A13" s="84"/>
      <c r="B13" s="90"/>
      <c r="C13" s="84"/>
      <c r="D13" s="84"/>
      <c r="E13" s="84"/>
      <c r="F13" s="84"/>
      <c r="G13" s="84"/>
      <c r="H13" s="83"/>
      <c r="I13" s="114"/>
      <c r="J13" s="84"/>
      <c r="K13" s="84"/>
      <c r="L13" s="84"/>
      <c r="M13" s="88"/>
      <c r="N13" s="84"/>
      <c r="O13" s="84"/>
      <c r="P13" s="84"/>
      <c r="Q13" s="84"/>
      <c r="R13" s="84"/>
      <c r="S13" s="84"/>
      <c r="T13" s="84"/>
      <c r="U13" s="84"/>
      <c r="V13" s="89"/>
      <c r="W13" s="89"/>
      <c r="X13" s="89"/>
      <c r="Y13" s="89"/>
      <c r="Z13" s="89"/>
      <c r="AA13" s="89"/>
      <c r="AB13" s="89"/>
      <c r="AC13" s="89"/>
      <c r="AD13" s="89"/>
      <c r="AE13" s="89"/>
      <c r="AF13" s="89"/>
      <c r="AG13" s="89"/>
      <c r="AH13" s="89"/>
      <c r="AI13" s="89"/>
      <c r="AJ13" s="89"/>
      <c r="AK13" s="89"/>
      <c r="AL13" s="89"/>
      <c r="AM13" s="89"/>
      <c r="AN13" s="91"/>
      <c r="AO13" s="91"/>
      <c r="AP13" s="91"/>
      <c r="AQ13" s="91"/>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84"/>
      <c r="BS13" s="90"/>
    </row>
    <row r="14" spans="1:71">
      <c r="A14" s="84"/>
      <c r="B14" s="90"/>
      <c r="C14" s="84"/>
      <c r="D14" s="84"/>
      <c r="E14" s="84"/>
      <c r="F14" s="84"/>
      <c r="G14" s="84"/>
      <c r="H14" s="83"/>
      <c r="I14" s="114"/>
      <c r="J14" s="84"/>
      <c r="K14" s="84"/>
      <c r="L14" s="84"/>
      <c r="M14" s="88"/>
      <c r="N14" s="84"/>
      <c r="O14" s="84"/>
      <c r="P14" s="84"/>
      <c r="Q14" s="84"/>
      <c r="R14" s="84"/>
      <c r="S14" s="84"/>
      <c r="T14" s="84"/>
      <c r="U14" s="84"/>
      <c r="V14" s="89"/>
      <c r="W14" s="89"/>
      <c r="X14" s="89"/>
      <c r="Y14" s="89"/>
      <c r="Z14" s="89"/>
      <c r="AA14" s="89"/>
      <c r="AB14" s="89"/>
      <c r="AC14" s="89"/>
      <c r="AD14" s="89"/>
      <c r="AE14" s="89"/>
      <c r="AF14" s="89"/>
      <c r="AG14" s="89"/>
      <c r="AH14" s="89"/>
      <c r="AI14" s="89"/>
      <c r="AJ14" s="89"/>
      <c r="AK14" s="89"/>
      <c r="AL14" s="89"/>
      <c r="AM14" s="89"/>
      <c r="AN14" s="91"/>
      <c r="AO14" s="91"/>
      <c r="AP14" s="91"/>
      <c r="AQ14" s="91"/>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84"/>
      <c r="BS14" s="90"/>
    </row>
    <row r="15" spans="1:71">
      <c r="A15" s="84"/>
      <c r="B15" s="90"/>
      <c r="C15" s="84"/>
      <c r="D15" s="84"/>
      <c r="E15" s="84"/>
      <c r="F15" s="84"/>
      <c r="G15" s="84"/>
      <c r="H15" s="83"/>
      <c r="I15" s="114"/>
      <c r="J15" s="84"/>
      <c r="K15" s="84"/>
      <c r="L15" s="84"/>
      <c r="M15" s="88"/>
      <c r="N15" s="84"/>
      <c r="O15" s="84"/>
      <c r="P15" s="84"/>
      <c r="Q15" s="84"/>
      <c r="R15" s="84"/>
      <c r="S15" s="84"/>
      <c r="T15" s="84"/>
      <c r="U15" s="84"/>
      <c r="V15" s="89"/>
      <c r="W15" s="89"/>
      <c r="X15" s="89"/>
      <c r="Y15" s="89"/>
      <c r="Z15" s="89"/>
      <c r="AA15" s="89"/>
      <c r="AB15" s="89"/>
      <c r="AC15" s="89"/>
      <c r="AD15" s="89"/>
      <c r="AE15" s="89"/>
      <c r="AF15" s="89"/>
      <c r="AG15" s="89"/>
      <c r="AH15" s="89"/>
      <c r="AI15" s="89"/>
      <c r="AJ15" s="89"/>
      <c r="AK15" s="89"/>
      <c r="AL15" s="89"/>
      <c r="AM15" s="89"/>
      <c r="AN15" s="91"/>
      <c r="AO15" s="91"/>
      <c r="AP15" s="91"/>
      <c r="AQ15" s="91"/>
      <c r="AR15" s="92"/>
      <c r="AS15" s="92"/>
      <c r="AT15" s="92" t="str">
        <f>IF('1.PERFIL_MUNICIPIO'!$F$12="&lt;5.000",1,"")</f>
        <v/>
      </c>
      <c r="AU15" s="92" t="str">
        <f>IF('1.PERFIL_MUNICIPIO'!$F$12="5.001–20.000",1,"")</f>
        <v/>
      </c>
      <c r="AV15" s="92" t="str">
        <f>IF('1.PERFIL_MUNICIPIO'!$F$12="20.001–50.000",1,"")</f>
        <v/>
      </c>
      <c r="AW15" s="92" t="str">
        <f>IF('1.PERFIL_MUNICIPIO'!$F$12="50.001–100.000",1,"")</f>
        <v/>
      </c>
      <c r="AX15" s="92">
        <f>IF('1.PERFIL_MUNICIPIO'!$F$12="&gt;100.000",1,"")</f>
        <v>1</v>
      </c>
      <c r="AY15" s="92"/>
      <c r="AZ15" s="92">
        <f>IF(Centros_salud="Si",1,0)</f>
        <v>0</v>
      </c>
      <c r="BA15" s="92">
        <f>IF(Edificios="Si",1,0)</f>
        <v>0</v>
      </c>
      <c r="BB15" s="92">
        <f>IF(Piscinas="Si",1,0)</f>
        <v>0</v>
      </c>
      <c r="BC15" s="92">
        <f>IF(Playas="Si",1,0)</f>
        <v>0</v>
      </c>
      <c r="BD15" s="92">
        <f>IF(Ríos="Si",1,0)</f>
        <v>0</v>
      </c>
      <c r="BE15" s="92">
        <f>IF(Transporte="Si",1,0)</f>
        <v>0</v>
      </c>
      <c r="BF15" s="92">
        <f>IF(Escuelas="Si",1,0)</f>
        <v>0</v>
      </c>
      <c r="BG15" s="92"/>
      <c r="BH15" s="92"/>
      <c r="BI15" s="92"/>
      <c r="BJ15" s="92"/>
      <c r="BK15" s="92"/>
      <c r="BL15" s="92"/>
      <c r="BM15" s="92"/>
      <c r="BN15" s="92"/>
      <c r="BO15" s="92"/>
      <c r="BP15" s="92"/>
      <c r="BQ15" s="92"/>
      <c r="BR15" s="84"/>
      <c r="BS15" s="90"/>
    </row>
    <row r="16" spans="1:71">
      <c r="A16" s="84"/>
      <c r="B16" s="90"/>
      <c r="C16" s="84"/>
      <c r="D16" s="84"/>
      <c r="E16" s="84"/>
      <c r="F16" s="84"/>
      <c r="G16" s="84"/>
      <c r="H16" s="83"/>
      <c r="I16" s="114"/>
      <c r="J16" s="84"/>
      <c r="K16" s="84"/>
      <c r="L16" s="84"/>
      <c r="M16" s="88"/>
      <c r="N16" s="84"/>
      <c r="O16" s="84"/>
      <c r="P16" s="84"/>
      <c r="Q16" s="84"/>
      <c r="R16" s="84"/>
      <c r="S16" s="84"/>
      <c r="T16" s="84"/>
      <c r="U16" s="84"/>
      <c r="V16" s="89"/>
      <c r="W16" s="89"/>
      <c r="X16" s="89"/>
      <c r="Y16" s="89"/>
      <c r="Z16" s="89"/>
      <c r="AA16" s="89"/>
      <c r="AB16" s="89"/>
      <c r="AC16" s="89"/>
      <c r="AD16" s="89"/>
      <c r="AE16" s="89"/>
      <c r="AF16" s="89"/>
      <c r="AG16" s="89"/>
      <c r="AH16" s="89"/>
      <c r="AI16" s="89"/>
      <c r="AJ16" s="89"/>
      <c r="AK16" s="89"/>
      <c r="AL16" s="89"/>
      <c r="AM16" s="89"/>
      <c r="AN16" s="91"/>
      <c r="AO16" s="91"/>
      <c r="AP16" s="91"/>
      <c r="AQ16" s="91"/>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84"/>
      <c r="BS16" s="90"/>
    </row>
    <row r="17" spans="1:71" s="20" customFormat="1" ht="30" customHeight="1">
      <c r="A17" s="85"/>
      <c r="B17" s="90"/>
      <c r="C17" s="84"/>
      <c r="D17" s="99" t="s">
        <v>61</v>
      </c>
      <c r="E17" s="30" t="s">
        <v>102</v>
      </c>
      <c r="F17" s="31" t="s">
        <v>103</v>
      </c>
      <c r="G17" s="82" t="s">
        <v>104</v>
      </c>
      <c r="H17" s="31" t="s">
        <v>105</v>
      </c>
      <c r="I17" s="31" t="s">
        <v>106</v>
      </c>
      <c r="J17" s="31" t="s">
        <v>107</v>
      </c>
      <c r="K17" s="100" t="s">
        <v>108</v>
      </c>
      <c r="L17" s="100" t="s">
        <v>109</v>
      </c>
      <c r="M17" s="100" t="s">
        <v>110</v>
      </c>
      <c r="N17" s="100" t="s">
        <v>66</v>
      </c>
      <c r="O17" s="100" t="s">
        <v>111</v>
      </c>
      <c r="P17" s="100" t="s">
        <v>112</v>
      </c>
      <c r="Q17" s="100" t="s">
        <v>113</v>
      </c>
      <c r="R17" s="100" t="s">
        <v>114</v>
      </c>
      <c r="S17" s="101" t="s">
        <v>115</v>
      </c>
      <c r="T17" s="102" t="s">
        <v>116</v>
      </c>
      <c r="U17" s="102" t="s">
        <v>117</v>
      </c>
      <c r="V17" s="103" t="s">
        <v>118</v>
      </c>
      <c r="W17" s="100" t="s">
        <v>67</v>
      </c>
      <c r="X17" s="100" t="s">
        <v>119</v>
      </c>
      <c r="Y17" s="100" t="s">
        <v>27</v>
      </c>
      <c r="Z17" s="100" t="s">
        <v>120</v>
      </c>
      <c r="AA17" s="100" t="s">
        <v>75</v>
      </c>
      <c r="AB17" s="100" t="s">
        <v>121</v>
      </c>
      <c r="AC17" s="100" t="s">
        <v>76</v>
      </c>
      <c r="AD17" s="100" t="s">
        <v>122</v>
      </c>
      <c r="AE17" s="100" t="s">
        <v>77</v>
      </c>
      <c r="AF17" s="100" t="s">
        <v>123</v>
      </c>
      <c r="AG17" s="100" t="s">
        <v>78</v>
      </c>
      <c r="AH17" s="100" t="s">
        <v>124</v>
      </c>
      <c r="AI17" s="100" t="s">
        <v>79</v>
      </c>
      <c r="AJ17" s="100" t="s">
        <v>125</v>
      </c>
      <c r="AK17" s="100" t="s">
        <v>80</v>
      </c>
      <c r="AL17" s="100" t="s">
        <v>50</v>
      </c>
      <c r="AM17" s="100" t="s">
        <v>81</v>
      </c>
      <c r="AN17" s="100" t="s">
        <v>126</v>
      </c>
      <c r="AO17" s="100" t="s">
        <v>127</v>
      </c>
      <c r="AP17" s="100" t="s">
        <v>128</v>
      </c>
      <c r="AQ17" s="100" t="s">
        <v>83</v>
      </c>
      <c r="AR17" s="101" t="s">
        <v>129</v>
      </c>
      <c r="AS17" s="104" t="s">
        <v>84</v>
      </c>
      <c r="AT17" s="105" t="s">
        <v>130</v>
      </c>
      <c r="AU17" s="106" t="s">
        <v>131</v>
      </c>
      <c r="AV17" s="106" t="s">
        <v>132</v>
      </c>
      <c r="AW17" s="106" t="s">
        <v>133</v>
      </c>
      <c r="AX17" s="106" t="s">
        <v>134</v>
      </c>
      <c r="AY17" s="106" t="s">
        <v>135</v>
      </c>
      <c r="AZ17" s="107" t="s">
        <v>136</v>
      </c>
      <c r="BA17" s="108" t="s">
        <v>25</v>
      </c>
      <c r="BB17" s="108" t="s">
        <v>137</v>
      </c>
      <c r="BC17" s="108" t="s">
        <v>28</v>
      </c>
      <c r="BD17" s="108" t="s">
        <v>29</v>
      </c>
      <c r="BE17" s="108" t="s">
        <v>138</v>
      </c>
      <c r="BF17" s="108" t="s">
        <v>31</v>
      </c>
      <c r="BG17" s="108" t="s">
        <v>139</v>
      </c>
      <c r="BH17" s="109" t="s">
        <v>140</v>
      </c>
      <c r="BI17" s="110" t="s">
        <v>141</v>
      </c>
      <c r="BJ17" s="110" t="s">
        <v>142</v>
      </c>
      <c r="BK17" s="110" t="s">
        <v>143</v>
      </c>
      <c r="BL17" s="110" t="s">
        <v>144</v>
      </c>
      <c r="BM17" s="110" t="s">
        <v>145</v>
      </c>
      <c r="BN17" s="110" t="s">
        <v>146</v>
      </c>
      <c r="BO17" s="110" t="s">
        <v>147</v>
      </c>
      <c r="BP17" s="111" t="s">
        <v>148</v>
      </c>
      <c r="BQ17" s="112" t="s">
        <v>149</v>
      </c>
      <c r="BR17" s="84"/>
      <c r="BS17" s="90"/>
    </row>
    <row r="18" spans="1:71" ht="34.5" hidden="1">
      <c r="A18" s="84"/>
      <c r="B18" s="90"/>
      <c r="C18" s="84"/>
      <c r="D18" s="43">
        <f>IF(T_MEDIDAS[[#This Row],[Peso Criterios]]&lt;=0,"",_xlfn.RANK.EQ(T_MEDIDAS[[#This Row],[Peso Criterios]],T_MEDIDAS[Peso Criterios]))</f>
        <v>106</v>
      </c>
      <c r="E18" s="116" t="s">
        <v>150</v>
      </c>
      <c r="F18" s="117" t="s">
        <v>71</v>
      </c>
      <c r="G18" s="117" t="s">
        <v>50</v>
      </c>
      <c r="H18" s="117" t="s">
        <v>151</v>
      </c>
      <c r="I18" s="118" t="s">
        <v>152</v>
      </c>
      <c r="J18" s="119"/>
      <c r="K18" s="120">
        <v>1</v>
      </c>
      <c r="L18" s="19"/>
      <c r="M18" s="19"/>
      <c r="N18" s="121" t="str">
        <f t="shared" ref="N18:N49" si="0">IF(M18&lt;&gt;"","€€€", IF(L18&lt;&gt;"","€€", IF(K18&lt;&gt;"","€","-")))</f>
        <v>€</v>
      </c>
      <c r="O18" s="122">
        <v>1</v>
      </c>
      <c r="P18" s="122">
        <v>1</v>
      </c>
      <c r="Q18" s="20"/>
      <c r="R18" s="122"/>
      <c r="S18" s="34" t="str">
        <f>IF(T_MEDIDAS[[#This Row],[No risk (0)]]=1,"■","")</f>
        <v>■</v>
      </c>
      <c r="T18" s="35" t="str">
        <f>IF(T_MEDIDAS[[#This Row],[Low risk (1)]]=1,"■","")</f>
        <v>■</v>
      </c>
      <c r="U18" s="36" t="str">
        <f>IF(T_MEDIDAS[[#This Row],[Medidaium risk (2)]]=1,"■","")</f>
        <v/>
      </c>
      <c r="V18" s="81" t="str">
        <f>IF(T_MEDIDAS[[#This Row],[High risk (3)]]=1,"■","")</f>
        <v/>
      </c>
      <c r="W18" s="19" t="str">
        <f t="shared" ref="W18:W49" si="1">IF(R18&lt;&gt;"","4. Alto (Rojo)", IF(Q18&lt;&gt;"","3. Medio (Naranja)", IF(P18&lt;&gt;"","2. Bajo (Amarillo)","1. Sin Riesgo (Verde)")))</f>
        <v>2. Bajo (Amarillo)</v>
      </c>
      <c r="X18" s="123">
        <f>COUNT(T_MEDIDAS[[#This Row],[Edificios públicos]:[Coordinación]])</f>
        <v>1</v>
      </c>
      <c r="Y18" s="19"/>
      <c r="Z18" s="19" t="str">
        <f>IF(T_MEDIDAS[[#This Row],[Edificios públicos]]=1,"Si","No")</f>
        <v>No</v>
      </c>
      <c r="AA18" s="19"/>
      <c r="AB18" s="19" t="str">
        <f>IF(T_MEDIDAS[[#This Row],[Planificación urbana]]=1,"Si","No")</f>
        <v>No</v>
      </c>
      <c r="AC18" s="19"/>
      <c r="AD18" s="19" t="str">
        <f>IF(T_MEDIDAS[[#This Row],[Cultura y deportes]],"Si","No")</f>
        <v>No</v>
      </c>
      <c r="AE18" s="124">
        <v>1</v>
      </c>
      <c r="AF18" s="19" t="str">
        <f>IF(T_MEDIDAS[[#This Row],[Turismo]],"Si","No")</f>
        <v>Si</v>
      </c>
      <c r="AG18" s="19"/>
      <c r="AH18" s="19" t="str">
        <f>IF(T_MEDIDAS[[#This Row],[Riesgos laborales]],"Si","No")</f>
        <v>No</v>
      </c>
      <c r="AI18" s="19"/>
      <c r="AJ18" s="19" t="str">
        <f>IF(T_MEDIDAS[[#This Row],[Educación]],"Si","No")</f>
        <v>No</v>
      </c>
      <c r="AK18" s="19"/>
      <c r="AL18" s="19" t="str">
        <f>IF(T_MEDIDAS[[#This Row],[Servicios sociales]],"Si","No")</f>
        <v>No</v>
      </c>
      <c r="AM18" s="19"/>
      <c r="AN18" s="19" t="str">
        <f>IF(T_MEDIDAS[[#This Row],[Servicios de emergencia y policía]],"Si","No")</f>
        <v>No</v>
      </c>
      <c r="AO18" s="19"/>
      <c r="AP18" s="19" t="str">
        <f>IF(T_MEDIDAS[[#This Row],[Parques y jardines]],"Si","No")</f>
        <v>No</v>
      </c>
      <c r="AQ18" s="19"/>
      <c r="AR18" s="19" t="str">
        <f>IF(T_MEDIDAS[[#This Row],[Transporte]],"Si","No")</f>
        <v>No</v>
      </c>
      <c r="AS18" s="125"/>
      <c r="AT18" s="1" t="str">
        <f>IF(T_MEDIDAS[[#This Row],[Coordinación]],"Si","No")</f>
        <v>No</v>
      </c>
      <c r="AU18" s="2">
        <v>1</v>
      </c>
      <c r="AV18" s="1">
        <v>1</v>
      </c>
      <c r="AW18" s="1">
        <v>1</v>
      </c>
      <c r="AX18" s="1">
        <v>1</v>
      </c>
      <c r="AY18" s="3">
        <v>1</v>
      </c>
      <c r="AZ18" s="43">
        <f>SUMPRODUCT($AT$15:$AX$15,T_MEDIDAS[[#This Row],[&lt;5.000]:[&gt;100.000]])</f>
        <v>1</v>
      </c>
      <c r="BA18" s="1">
        <v>1</v>
      </c>
      <c r="BB18" s="1">
        <v>1</v>
      </c>
      <c r="BC18" s="1">
        <v>1</v>
      </c>
      <c r="BD18" s="1">
        <v>1</v>
      </c>
      <c r="BE18" s="1">
        <v>1</v>
      </c>
      <c r="BF18" s="1">
        <v>1</v>
      </c>
      <c r="BG18" s="1">
        <v>1</v>
      </c>
      <c r="BH18" s="43" cm="1">
        <f t="array" ref="BH18">SUMPRODUCT(--((T_MEDIDAS[[#This Row],[Centros de salud o asistencia social]:[Escuelas / Centros de educación]] + $AZ$15:$BF$15)&gt;0))</f>
        <v>7</v>
      </c>
      <c r="BI18" s="44">
        <v>0</v>
      </c>
      <c r="BJ18" s="44">
        <v>0</v>
      </c>
      <c r="BK18" s="44">
        <v>1</v>
      </c>
      <c r="BL18" s="44">
        <v>1</v>
      </c>
      <c r="BM18" s="44">
        <v>3</v>
      </c>
      <c r="BN18" s="44">
        <v>3</v>
      </c>
      <c r="BO18" s="44">
        <v>3</v>
      </c>
      <c r="BP18" s="44">
        <v>3</v>
      </c>
      <c r="BQ18" s="47" cm="1">
        <f t="array" ref="BQ18">T_MEDIDAS[[#This Row],[Aplicación tamaño]]*(SUMPRODUCT(T_MEDIDAS[[#This Row],[C1_Refrigeración]:[C8_Tiempo]],TRANSPOSE('2.PONDERACIÓN'!$L$13:$L$20))+(ROW(C18)-ROW($C$18)+1)*0.0000000001)*100</f>
        <v>175.00000001000001</v>
      </c>
      <c r="BR18" s="84"/>
      <c r="BS18" s="90"/>
    </row>
    <row r="19" spans="1:71" ht="34.5" hidden="1">
      <c r="A19" s="84"/>
      <c r="B19" s="90"/>
      <c r="C19" s="84"/>
      <c r="D19" s="43">
        <f>IF(T_MEDIDAS[[#This Row],[Peso Criterios]]&lt;=0,"",_xlfn.RANK.EQ(T_MEDIDAS[[#This Row],[Peso Criterios]],T_MEDIDAS[Peso Criterios]))</f>
        <v>119</v>
      </c>
      <c r="E19" s="116" t="s">
        <v>153</v>
      </c>
      <c r="F19" s="117" t="s">
        <v>71</v>
      </c>
      <c r="G19" s="117" t="s">
        <v>47</v>
      </c>
      <c r="H19" s="117" t="s">
        <v>154</v>
      </c>
      <c r="I19" s="117" t="s">
        <v>155</v>
      </c>
      <c r="J19" s="117"/>
      <c r="K19" s="120"/>
      <c r="L19" s="19">
        <v>1</v>
      </c>
      <c r="M19" s="19">
        <v>1</v>
      </c>
      <c r="N19" s="121" t="str">
        <f t="shared" si="0"/>
        <v>€€€</v>
      </c>
      <c r="O19" s="122">
        <v>1</v>
      </c>
      <c r="P19" s="122"/>
      <c r="Q19" s="20"/>
      <c r="R19" s="122"/>
      <c r="S19" s="34" t="str">
        <f>IF(T_MEDIDAS[[#This Row],[No risk (0)]]=1,"■","")</f>
        <v>■</v>
      </c>
      <c r="T19" s="35" t="str">
        <f>IF(T_MEDIDAS[[#This Row],[Low risk (1)]]=1,"■","")</f>
        <v/>
      </c>
      <c r="U19" s="36" t="str">
        <f>IF(T_MEDIDAS[[#This Row],[Medidaium risk (2)]]=1,"■","")</f>
        <v/>
      </c>
      <c r="V19" s="81" t="str">
        <f>IF(T_MEDIDAS[[#This Row],[High risk (3)]]=1,"■","")</f>
        <v/>
      </c>
      <c r="W19" s="19" t="str">
        <f t="shared" si="1"/>
        <v>1. Sin Riesgo (Verde)</v>
      </c>
      <c r="X19" s="19">
        <f>COUNT(T_MEDIDAS[[#This Row],[Edificios públicos]:[Coordinación]])</f>
        <v>1</v>
      </c>
      <c r="Y19" s="19"/>
      <c r="Z19" s="19" t="str">
        <f>IF(T_MEDIDAS[[#This Row],[Edificios públicos]]=1,"Si","No")</f>
        <v>No</v>
      </c>
      <c r="AA19" s="124">
        <v>1</v>
      </c>
      <c r="AB19" s="124" t="str">
        <f>IF(T_MEDIDAS[[#This Row],[Planificación urbana]]=1,"Si","No")</f>
        <v>Si</v>
      </c>
      <c r="AC19" s="19"/>
      <c r="AD19" s="19" t="str">
        <f>IF(T_MEDIDAS[[#This Row],[Cultura y deportes]],"Si","No")</f>
        <v>No</v>
      </c>
      <c r="AE19" s="19"/>
      <c r="AF19" s="19" t="str">
        <f>IF(T_MEDIDAS[[#This Row],[Turismo]],"Si","No")</f>
        <v>No</v>
      </c>
      <c r="AG19" s="19"/>
      <c r="AH19" s="19" t="str">
        <f>IF(T_MEDIDAS[[#This Row],[Riesgos laborales]],"Si","No")</f>
        <v>No</v>
      </c>
      <c r="AI19" s="19"/>
      <c r="AJ19" s="19" t="str">
        <f>IF(T_MEDIDAS[[#This Row],[Educación]],"Si","No")</f>
        <v>No</v>
      </c>
      <c r="AK19" s="19"/>
      <c r="AL19" s="19" t="str">
        <f>IF(T_MEDIDAS[[#This Row],[Servicios sociales]],"Si","No")</f>
        <v>No</v>
      </c>
      <c r="AM19" s="19"/>
      <c r="AN19" s="19" t="str">
        <f>IF(T_MEDIDAS[[#This Row],[Servicios de emergencia y policía]],"Si","No")</f>
        <v>No</v>
      </c>
      <c r="AO19" s="19"/>
      <c r="AP19" s="19" t="str">
        <f>IF(T_MEDIDAS[[#This Row],[Parques y jardines]],"Si","No")</f>
        <v>No</v>
      </c>
      <c r="AQ19" s="19"/>
      <c r="AR19" s="19" t="str">
        <f>IF(T_MEDIDAS[[#This Row],[Transporte]],"Si","No")</f>
        <v>No</v>
      </c>
      <c r="AS19" s="125"/>
      <c r="AT19" s="1" t="str">
        <f>IF(T_MEDIDAS[[#This Row],[Coordinación]],"Si","No")</f>
        <v>No</v>
      </c>
      <c r="AU19" s="2">
        <v>1</v>
      </c>
      <c r="AV19" s="1">
        <v>1</v>
      </c>
      <c r="AW19" s="1">
        <v>1</v>
      </c>
      <c r="AX19" s="1">
        <v>1</v>
      </c>
      <c r="AY19" s="3">
        <v>1</v>
      </c>
      <c r="AZ19" s="43">
        <f>SUMPRODUCT($AT$15:$AX$15,T_MEDIDAS[[#This Row],[&lt;5.000]:[&gt;100.000]])</f>
        <v>1</v>
      </c>
      <c r="BA19" s="1">
        <v>1</v>
      </c>
      <c r="BB19" s="1"/>
      <c r="BC19" s="1">
        <v>1</v>
      </c>
      <c r="BD19" s="1">
        <v>1</v>
      </c>
      <c r="BE19" s="1">
        <v>1</v>
      </c>
      <c r="BF19" s="1">
        <v>1</v>
      </c>
      <c r="BG19" s="1">
        <v>1</v>
      </c>
      <c r="BH19" s="43" cm="1">
        <f t="array" ref="BH19">SUMPRODUCT(--((T_MEDIDAS[[#This Row],[Centros de salud o asistencia social]:[Escuelas / Centros de educación]] + $AZ$15:$BF$15)&gt;0))</f>
        <v>6</v>
      </c>
      <c r="BI19" s="1">
        <v>2</v>
      </c>
      <c r="BJ19" s="1">
        <v>2</v>
      </c>
      <c r="BK19" s="1">
        <v>1</v>
      </c>
      <c r="BL19" s="1">
        <v>1</v>
      </c>
      <c r="BM19" s="1">
        <v>3</v>
      </c>
      <c r="BN19" s="1">
        <v>1</v>
      </c>
      <c r="BO19" s="1">
        <v>2</v>
      </c>
      <c r="BP19" s="1">
        <v>1</v>
      </c>
      <c r="BQ19" s="47" cm="1">
        <f t="array" ref="BQ19">T_MEDIDAS[[#This Row],[Aplicación tamaño]]*(SUMPRODUCT(T_MEDIDAS[[#This Row],[C1_Refrigeración]:[C8_Tiempo]],TRANSPOSE('2.PONDERACIÓN'!$L$13:$L$20))+(ROW(C19)-ROW($C$18)+1)*0.0000000001)*100</f>
        <v>162.50000002000002</v>
      </c>
      <c r="BR19" s="84"/>
      <c r="BS19" s="90"/>
    </row>
    <row r="20" spans="1:71" ht="34.5" hidden="1">
      <c r="A20" s="84"/>
      <c r="B20" s="90"/>
      <c r="C20" s="84"/>
      <c r="D20" s="43">
        <f>IF(T_MEDIDAS[[#This Row],[Peso Criterios]]&lt;=0,"",_xlfn.RANK.EQ(T_MEDIDAS[[#This Row],[Peso Criterios]],T_MEDIDAS[Peso Criterios]))</f>
        <v>105</v>
      </c>
      <c r="E20" s="116" t="s">
        <v>156</v>
      </c>
      <c r="F20" s="117" t="s">
        <v>71</v>
      </c>
      <c r="G20" s="117" t="s">
        <v>47</v>
      </c>
      <c r="H20" s="117" t="s">
        <v>157</v>
      </c>
      <c r="I20" s="126" t="s">
        <v>158</v>
      </c>
      <c r="J20" s="126"/>
      <c r="K20" s="120"/>
      <c r="L20" s="19">
        <v>1</v>
      </c>
      <c r="M20" s="19"/>
      <c r="N20" s="121" t="str">
        <f t="shared" si="0"/>
        <v>€€</v>
      </c>
      <c r="O20" s="122">
        <v>1</v>
      </c>
      <c r="P20" s="122">
        <v>1</v>
      </c>
      <c r="Q20" s="20"/>
      <c r="R20" s="122"/>
      <c r="S20" s="34" t="str">
        <f>IF(T_MEDIDAS[[#This Row],[No risk (0)]]=1,"■","")</f>
        <v>■</v>
      </c>
      <c r="T20" s="35" t="str">
        <f>IF(T_MEDIDAS[[#This Row],[Low risk (1)]]=1,"■","")</f>
        <v>■</v>
      </c>
      <c r="U20" s="36" t="str">
        <f>IF(T_MEDIDAS[[#This Row],[Medidaium risk (2)]]=1,"■","")</f>
        <v/>
      </c>
      <c r="V20" s="81" t="str">
        <f>IF(T_MEDIDAS[[#This Row],[High risk (3)]]=1,"■","")</f>
        <v/>
      </c>
      <c r="W20" s="19" t="str">
        <f t="shared" si="1"/>
        <v>2. Bajo (Amarillo)</v>
      </c>
      <c r="X20" s="19">
        <f>COUNT(T_MEDIDAS[[#This Row],[Edificios públicos]:[Coordinación]])</f>
        <v>1</v>
      </c>
      <c r="Y20" s="123"/>
      <c r="Z20" s="123" t="str">
        <f>IF(T_MEDIDAS[[#This Row],[Edificios públicos]]=1,"Si","No")</f>
        <v>No</v>
      </c>
      <c r="AA20" s="19"/>
      <c r="AB20" s="19" t="str">
        <f>IF(T_MEDIDAS[[#This Row],[Planificación urbana]]=1,"Si","No")</f>
        <v>No</v>
      </c>
      <c r="AC20" s="19"/>
      <c r="AD20" s="19" t="str">
        <f>IF(T_MEDIDAS[[#This Row],[Cultura y deportes]],"Si","No")</f>
        <v>No</v>
      </c>
      <c r="AE20" s="19"/>
      <c r="AF20" s="19" t="str">
        <f>IF(T_MEDIDAS[[#This Row],[Turismo]],"Si","No")</f>
        <v>No</v>
      </c>
      <c r="AG20" s="19"/>
      <c r="AH20" s="19" t="str">
        <f>IF(T_MEDIDAS[[#This Row],[Riesgos laborales]],"Si","No")</f>
        <v>No</v>
      </c>
      <c r="AI20" s="124">
        <v>1</v>
      </c>
      <c r="AJ20" s="124" t="str">
        <f>IF(T_MEDIDAS[[#This Row],[Educación]],"Si","No")</f>
        <v>Si</v>
      </c>
      <c r="AK20" s="19"/>
      <c r="AL20" s="19" t="str">
        <f>IF(T_MEDIDAS[[#This Row],[Servicios sociales]],"Si","No")</f>
        <v>No</v>
      </c>
      <c r="AM20" s="19"/>
      <c r="AN20" s="19" t="str">
        <f>IF(T_MEDIDAS[[#This Row],[Servicios de emergencia y policía]],"Si","No")</f>
        <v>No</v>
      </c>
      <c r="AO20" s="19"/>
      <c r="AP20" s="19" t="str">
        <f>IF(T_MEDIDAS[[#This Row],[Parques y jardines]],"Si","No")</f>
        <v>No</v>
      </c>
      <c r="AQ20" s="19"/>
      <c r="AR20" s="19" t="str">
        <f>IF(T_MEDIDAS[[#This Row],[Transporte]],"Si","No")</f>
        <v>No</v>
      </c>
      <c r="AS20" s="125"/>
      <c r="AT20" s="1" t="str">
        <f>IF(T_MEDIDAS[[#This Row],[Coordinación]],"Si","No")</f>
        <v>No</v>
      </c>
      <c r="AU20" s="2">
        <v>1</v>
      </c>
      <c r="AV20" s="1">
        <v>1</v>
      </c>
      <c r="AW20" s="1">
        <v>1</v>
      </c>
      <c r="AX20" s="1">
        <v>1</v>
      </c>
      <c r="AY20" s="3">
        <v>1</v>
      </c>
      <c r="AZ20" s="43">
        <f>SUMPRODUCT($AT$15:$AX$15,T_MEDIDAS[[#This Row],[&lt;5.000]:[&gt;100.000]])</f>
        <v>1</v>
      </c>
      <c r="BA20" s="1">
        <v>1</v>
      </c>
      <c r="BB20" s="1">
        <v>1</v>
      </c>
      <c r="BC20" s="1">
        <v>1</v>
      </c>
      <c r="BD20" s="1">
        <v>1</v>
      </c>
      <c r="BE20" s="1">
        <v>1</v>
      </c>
      <c r="BF20" s="1">
        <v>1</v>
      </c>
      <c r="BG20" s="1">
        <v>1</v>
      </c>
      <c r="BH20" s="43" cm="1">
        <f t="array" ref="BH20">SUMPRODUCT(--((T_MEDIDAS[[#This Row],[Centros de salud o asistencia social]:[Escuelas / Centros de educación]] + $AZ$15:$BF$15)&gt;0))</f>
        <v>7</v>
      </c>
      <c r="BI20" s="44">
        <v>2</v>
      </c>
      <c r="BJ20" s="44">
        <v>0</v>
      </c>
      <c r="BK20" s="44">
        <v>3</v>
      </c>
      <c r="BL20" s="44">
        <v>2</v>
      </c>
      <c r="BM20" s="44">
        <v>2</v>
      </c>
      <c r="BN20" s="44">
        <v>1</v>
      </c>
      <c r="BO20" s="44">
        <v>2</v>
      </c>
      <c r="BP20" s="44">
        <v>2</v>
      </c>
      <c r="BQ20" s="47" cm="1">
        <f t="array" ref="BQ20">T_MEDIDAS[[#This Row],[Aplicación tamaño]]*(SUMPRODUCT(T_MEDIDAS[[#This Row],[C1_Refrigeración]:[C8_Tiempo]],TRANSPOSE('2.PONDERACIÓN'!$L$13:$L$20))+(ROW(C20)-ROW($C$18)+1)*0.0000000001)*100</f>
        <v>175.00000003</v>
      </c>
      <c r="BR20" s="84"/>
      <c r="BS20" s="90"/>
    </row>
    <row r="21" spans="1:71" ht="34.5" hidden="1">
      <c r="A21" s="84"/>
      <c r="B21" s="90"/>
      <c r="C21" s="84"/>
      <c r="D21" s="43">
        <f>IF(T_MEDIDAS[[#This Row],[Peso Criterios]]&lt;=0,"",_xlfn.RANK.EQ(T_MEDIDAS[[#This Row],[Peso Criterios]],T_MEDIDAS[Peso Criterios]))</f>
        <v>9</v>
      </c>
      <c r="E21" s="116" t="s">
        <v>159</v>
      </c>
      <c r="F21" s="117" t="s">
        <v>71</v>
      </c>
      <c r="G21" s="117" t="s">
        <v>50</v>
      </c>
      <c r="H21" s="117" t="s">
        <v>160</v>
      </c>
      <c r="I21" s="126" t="s">
        <v>161</v>
      </c>
      <c r="J21" s="126"/>
      <c r="K21" s="120">
        <v>1</v>
      </c>
      <c r="L21" s="19"/>
      <c r="M21" s="19"/>
      <c r="N21" s="121" t="str">
        <f t="shared" si="0"/>
        <v>€</v>
      </c>
      <c r="O21" s="122">
        <v>1</v>
      </c>
      <c r="P21" s="122"/>
      <c r="Q21" s="20"/>
      <c r="R21" s="122"/>
      <c r="S21" s="34" t="str">
        <f>IF(T_MEDIDAS[[#This Row],[No risk (0)]]=1,"■","")</f>
        <v>■</v>
      </c>
      <c r="T21" s="35" t="str">
        <f>IF(T_MEDIDAS[[#This Row],[Low risk (1)]]=1,"■","")</f>
        <v/>
      </c>
      <c r="U21" s="36" t="str">
        <f>IF(T_MEDIDAS[[#This Row],[Medidaium risk (2)]]=1,"■","")</f>
        <v/>
      </c>
      <c r="V21" s="81" t="str">
        <f>IF(T_MEDIDAS[[#This Row],[High risk (3)]]=1,"■","")</f>
        <v/>
      </c>
      <c r="W21" s="19" t="str">
        <f t="shared" si="1"/>
        <v>1. Sin Riesgo (Verde)</v>
      </c>
      <c r="X21" s="19">
        <f>COUNT(T_MEDIDAS[[#This Row],[Edificios públicos]:[Coordinación]])</f>
        <v>2</v>
      </c>
      <c r="Y21" s="124">
        <v>1</v>
      </c>
      <c r="Z21" s="124" t="str">
        <f>IF(T_MEDIDAS[[#This Row],[Edificios públicos]]=1,"Si","No")</f>
        <v>Si</v>
      </c>
      <c r="AA21" s="19"/>
      <c r="AB21" s="19" t="str">
        <f>IF(T_MEDIDAS[[#This Row],[Planificación urbana]]=1,"Si","No")</f>
        <v>No</v>
      </c>
      <c r="AC21" s="19"/>
      <c r="AD21" s="19" t="str">
        <f>IF(T_MEDIDAS[[#This Row],[Cultura y deportes]],"Si","No")</f>
        <v>No</v>
      </c>
      <c r="AE21" s="19"/>
      <c r="AF21" s="19" t="str">
        <f>IF(T_MEDIDAS[[#This Row],[Turismo]],"Si","No")</f>
        <v>No</v>
      </c>
      <c r="AG21" s="19"/>
      <c r="AH21" s="19" t="str">
        <f>IF(T_MEDIDAS[[#This Row],[Riesgos laborales]],"Si","No")</f>
        <v>No</v>
      </c>
      <c r="AI21" s="124">
        <v>1</v>
      </c>
      <c r="AJ21" s="124" t="str">
        <f>IF(T_MEDIDAS[[#This Row],[Educación]],"Si","No")</f>
        <v>Si</v>
      </c>
      <c r="AK21" s="19"/>
      <c r="AL21" s="19" t="str">
        <f>IF(T_MEDIDAS[[#This Row],[Servicios sociales]],"Si","No")</f>
        <v>No</v>
      </c>
      <c r="AM21" s="19"/>
      <c r="AN21" s="19" t="str">
        <f>IF(T_MEDIDAS[[#This Row],[Servicios de emergencia y policía]],"Si","No")</f>
        <v>No</v>
      </c>
      <c r="AO21" s="19"/>
      <c r="AP21" s="19" t="str">
        <f>IF(T_MEDIDAS[[#This Row],[Parques y jardines]],"Si","No")</f>
        <v>No</v>
      </c>
      <c r="AQ21" s="19"/>
      <c r="AR21" s="19" t="str">
        <f>IF(T_MEDIDAS[[#This Row],[Transporte]],"Si","No")</f>
        <v>No</v>
      </c>
      <c r="AS21" s="125"/>
      <c r="AT21" s="1" t="str">
        <f>IF(T_MEDIDAS[[#This Row],[Coordinación]],"Si","No")</f>
        <v>No</v>
      </c>
      <c r="AU21" s="2">
        <v>1</v>
      </c>
      <c r="AV21" s="1">
        <v>1</v>
      </c>
      <c r="AW21" s="1">
        <v>1</v>
      </c>
      <c r="AX21" s="1">
        <v>1</v>
      </c>
      <c r="AY21" s="3">
        <v>1</v>
      </c>
      <c r="AZ21" s="43">
        <f>SUMPRODUCT($AT$15:$AX$15,T_MEDIDAS[[#This Row],[&lt;5.000]:[&gt;100.000]])</f>
        <v>1</v>
      </c>
      <c r="BA21" s="1">
        <v>1</v>
      </c>
      <c r="BB21" s="1">
        <v>1</v>
      </c>
      <c r="BC21" s="1">
        <v>1</v>
      </c>
      <c r="BD21" s="1">
        <v>1</v>
      </c>
      <c r="BE21" s="1">
        <v>1</v>
      </c>
      <c r="BF21" s="1">
        <v>1</v>
      </c>
      <c r="BG21" s="1">
        <v>1</v>
      </c>
      <c r="BH21" s="43" cm="1">
        <f t="array" ref="BH21">SUMPRODUCT(--((T_MEDIDAS[[#This Row],[Centros de salud o asistencia social]:[Escuelas / Centros de educación]] + $AZ$15:$BF$15)&gt;0))</f>
        <v>7</v>
      </c>
      <c r="BI21" s="1">
        <v>0</v>
      </c>
      <c r="BJ21" s="1">
        <v>0</v>
      </c>
      <c r="BK21" s="1">
        <v>3</v>
      </c>
      <c r="BL21" s="1">
        <v>3</v>
      </c>
      <c r="BM21" s="1">
        <v>3</v>
      </c>
      <c r="BN21" s="1">
        <v>2</v>
      </c>
      <c r="BO21" s="1">
        <v>3</v>
      </c>
      <c r="BP21" s="1">
        <v>3</v>
      </c>
      <c r="BQ21" s="47" cm="1">
        <f t="array" ref="BQ21">T_MEDIDAS[[#This Row],[Aplicación tamaño]]*(SUMPRODUCT(T_MEDIDAS[[#This Row],[C1_Refrigeración]:[C8_Tiempo]],TRANSPOSE('2.PONDERACIÓN'!$L$13:$L$20))+(ROW(C21)-ROW($C$18)+1)*0.0000000001)*100</f>
        <v>212.50000004</v>
      </c>
      <c r="BR21" s="84"/>
      <c r="BS21" s="90"/>
    </row>
    <row r="22" spans="1:71" ht="34.5" hidden="1">
      <c r="A22" s="84"/>
      <c r="B22" s="90"/>
      <c r="C22" s="84"/>
      <c r="D22" s="43">
        <f>IF(T_MEDIDAS[[#This Row],[Peso Criterios]]&lt;=0,"",_xlfn.RANK.EQ(T_MEDIDAS[[#This Row],[Peso Criterios]],T_MEDIDAS[Peso Criterios]))</f>
        <v>104</v>
      </c>
      <c r="E22" s="116" t="s">
        <v>162</v>
      </c>
      <c r="F22" s="117" t="s">
        <v>71</v>
      </c>
      <c r="G22" s="117" t="s">
        <v>47</v>
      </c>
      <c r="H22" s="117" t="s">
        <v>154</v>
      </c>
      <c r="I22" s="117" t="s">
        <v>163</v>
      </c>
      <c r="J22" s="117"/>
      <c r="K22" s="120">
        <v>1</v>
      </c>
      <c r="L22" s="19"/>
      <c r="M22" s="19"/>
      <c r="N22" s="121" t="str">
        <f t="shared" si="0"/>
        <v>€</v>
      </c>
      <c r="O22" s="122">
        <v>1</v>
      </c>
      <c r="P22" s="122"/>
      <c r="Q22" s="20"/>
      <c r="R22" s="122"/>
      <c r="S22" s="34" t="str">
        <f>IF(T_MEDIDAS[[#This Row],[No risk (0)]]=1,"■","")</f>
        <v>■</v>
      </c>
      <c r="T22" s="35" t="str">
        <f>IF(T_MEDIDAS[[#This Row],[Low risk (1)]]=1,"■","")</f>
        <v/>
      </c>
      <c r="U22" s="36" t="str">
        <f>IF(T_MEDIDAS[[#This Row],[Medidaium risk (2)]]=1,"■","")</f>
        <v/>
      </c>
      <c r="V22" s="81" t="str">
        <f>IF(T_MEDIDAS[[#This Row],[High risk (3)]]=1,"■","")</f>
        <v/>
      </c>
      <c r="W22" s="19" t="str">
        <f t="shared" si="1"/>
        <v>1. Sin Riesgo (Verde)</v>
      </c>
      <c r="X22" s="19">
        <f>COUNT(T_MEDIDAS[[#This Row],[Edificios públicos]:[Coordinación]])</f>
        <v>2</v>
      </c>
      <c r="Y22" s="19"/>
      <c r="Z22" s="19" t="str">
        <f>IF(T_MEDIDAS[[#This Row],[Edificios públicos]]=1,"Si","No")</f>
        <v>No</v>
      </c>
      <c r="AA22" s="124">
        <v>1</v>
      </c>
      <c r="AB22" s="124" t="str">
        <f>IF(T_MEDIDAS[[#This Row],[Planificación urbana]]=1,"Si","No")</f>
        <v>Si</v>
      </c>
      <c r="AC22" s="19"/>
      <c r="AD22" s="19" t="str">
        <f>IF(T_MEDIDAS[[#This Row],[Cultura y deportes]],"Si","No")</f>
        <v>No</v>
      </c>
      <c r="AE22" s="19"/>
      <c r="AF22" s="19" t="str">
        <f>IF(T_MEDIDAS[[#This Row],[Turismo]],"Si","No")</f>
        <v>No</v>
      </c>
      <c r="AG22" s="19"/>
      <c r="AH22" s="19" t="str">
        <f>IF(T_MEDIDAS[[#This Row],[Riesgos laborales]],"Si","No")</f>
        <v>No</v>
      </c>
      <c r="AI22" s="19"/>
      <c r="AJ22" s="19" t="str">
        <f>IF(T_MEDIDAS[[#This Row],[Educación]],"Si","No")</f>
        <v>No</v>
      </c>
      <c r="AK22" s="19"/>
      <c r="AL22" s="19" t="str">
        <f>IF(T_MEDIDAS[[#This Row],[Servicios sociales]],"Si","No")</f>
        <v>No</v>
      </c>
      <c r="AM22" s="19"/>
      <c r="AN22" s="19" t="str">
        <f>IF(T_MEDIDAS[[#This Row],[Servicios de emergencia y policía]],"Si","No")</f>
        <v>No</v>
      </c>
      <c r="AO22" s="124">
        <v>1</v>
      </c>
      <c r="AP22" s="124" t="str">
        <f>IF(T_MEDIDAS[[#This Row],[Parques y jardines]],"Si","No")</f>
        <v>Si</v>
      </c>
      <c r="AQ22" s="19"/>
      <c r="AR22" s="19" t="str">
        <f>IF(T_MEDIDAS[[#This Row],[Transporte]],"Si","No")</f>
        <v>No</v>
      </c>
      <c r="AS22" s="125"/>
      <c r="AT22" s="1" t="str">
        <f>IF(T_MEDIDAS[[#This Row],[Coordinación]],"Si","No")</f>
        <v>No</v>
      </c>
      <c r="AU22" s="2">
        <v>1</v>
      </c>
      <c r="AV22" s="1">
        <v>1</v>
      </c>
      <c r="AW22" s="1">
        <v>1</v>
      </c>
      <c r="AX22" s="1">
        <v>1</v>
      </c>
      <c r="AY22" s="3">
        <v>1</v>
      </c>
      <c r="AZ22" s="43">
        <f>SUMPRODUCT($AT$15:$AX$15,T_MEDIDAS[[#This Row],[&lt;5.000]:[&gt;100.000]])</f>
        <v>1</v>
      </c>
      <c r="BA22" s="1">
        <v>1</v>
      </c>
      <c r="BB22" s="1">
        <v>1</v>
      </c>
      <c r="BC22" s="1">
        <v>1</v>
      </c>
      <c r="BD22" s="1">
        <v>1</v>
      </c>
      <c r="BE22" s="1">
        <v>1</v>
      </c>
      <c r="BF22" s="1">
        <v>1</v>
      </c>
      <c r="BG22" s="1">
        <v>1</v>
      </c>
      <c r="BH22" s="43" cm="1">
        <f t="array" ref="BH22">SUMPRODUCT(--((T_MEDIDAS[[#This Row],[Centros de salud o asistencia social]:[Escuelas / Centros de educación]] + $AZ$15:$BF$15)&gt;0))</f>
        <v>7</v>
      </c>
      <c r="BI22" s="44">
        <v>0</v>
      </c>
      <c r="BJ22" s="44">
        <v>0</v>
      </c>
      <c r="BK22" s="44">
        <v>1</v>
      </c>
      <c r="BL22" s="44">
        <v>2</v>
      </c>
      <c r="BM22" s="44">
        <v>3</v>
      </c>
      <c r="BN22" s="44">
        <v>2</v>
      </c>
      <c r="BO22" s="44">
        <v>3</v>
      </c>
      <c r="BP22" s="44">
        <v>3</v>
      </c>
      <c r="BQ22" s="47" cm="1">
        <f t="array" ref="BQ22">T_MEDIDAS[[#This Row],[Aplicación tamaño]]*(SUMPRODUCT(T_MEDIDAS[[#This Row],[C1_Refrigeración]:[C8_Tiempo]],TRANSPOSE('2.PONDERACIÓN'!$L$13:$L$20))+(ROW(C22)-ROW($C$18)+1)*0.0000000001)*100</f>
        <v>175.00000005000001</v>
      </c>
      <c r="BR22" s="84"/>
      <c r="BS22" s="90"/>
    </row>
    <row r="23" spans="1:71" ht="34.5" hidden="1">
      <c r="A23" s="84"/>
      <c r="B23" s="90"/>
      <c r="C23" s="84"/>
      <c r="D23" s="43">
        <f>IF(T_MEDIDAS[[#This Row],[Peso Criterios]]&lt;=0,"",_xlfn.RANK.EQ(T_MEDIDAS[[#This Row],[Peso Criterios]],T_MEDIDAS[Peso Criterios]))</f>
        <v>127</v>
      </c>
      <c r="E23" s="116" t="s">
        <v>164</v>
      </c>
      <c r="F23" s="117" t="s">
        <v>71</v>
      </c>
      <c r="G23" s="117" t="s">
        <v>47</v>
      </c>
      <c r="H23" s="117" t="s">
        <v>157</v>
      </c>
      <c r="I23" s="117" t="s">
        <v>165</v>
      </c>
      <c r="J23" s="117"/>
      <c r="K23" s="120">
        <v>1</v>
      </c>
      <c r="L23" s="19"/>
      <c r="M23" s="19"/>
      <c r="N23" s="121" t="str">
        <f t="shared" si="0"/>
        <v>€</v>
      </c>
      <c r="O23" s="122">
        <v>1</v>
      </c>
      <c r="P23" s="122"/>
      <c r="Q23" s="20"/>
      <c r="R23" s="122"/>
      <c r="S23" s="34" t="str">
        <f>IF(T_MEDIDAS[[#This Row],[No risk (0)]]=1,"■","")</f>
        <v>■</v>
      </c>
      <c r="T23" s="35" t="str">
        <f>IF(T_MEDIDAS[[#This Row],[Low risk (1)]]=1,"■","")</f>
        <v/>
      </c>
      <c r="U23" s="36" t="str">
        <f>IF(T_MEDIDAS[[#This Row],[Medidaium risk (2)]]=1,"■","")</f>
        <v/>
      </c>
      <c r="V23" s="81" t="str">
        <f>IF(T_MEDIDAS[[#This Row],[High risk (3)]]=1,"■","")</f>
        <v/>
      </c>
      <c r="W23" s="19" t="str">
        <f t="shared" si="1"/>
        <v>1. Sin Riesgo (Verde)</v>
      </c>
      <c r="X23" s="19">
        <f>COUNT(T_MEDIDAS[[#This Row],[Edificios públicos]:[Coordinación]])</f>
        <v>1</v>
      </c>
      <c r="Y23" s="19"/>
      <c r="Z23" s="19" t="str">
        <f>IF(T_MEDIDAS[[#This Row],[Edificios públicos]]=1,"Si","No")</f>
        <v>No</v>
      </c>
      <c r="AA23" s="124">
        <v>1</v>
      </c>
      <c r="AB23" s="124" t="str">
        <f>IF(T_MEDIDAS[[#This Row],[Planificación urbana]]=1,"Si","No")</f>
        <v>Si</v>
      </c>
      <c r="AC23" s="19"/>
      <c r="AD23" s="19" t="str">
        <f>IF(T_MEDIDAS[[#This Row],[Cultura y deportes]],"Si","No")</f>
        <v>No</v>
      </c>
      <c r="AE23" s="19"/>
      <c r="AF23" s="19" t="str">
        <f>IF(T_MEDIDAS[[#This Row],[Turismo]],"Si","No")</f>
        <v>No</v>
      </c>
      <c r="AG23" s="19"/>
      <c r="AH23" s="19" t="str">
        <f>IF(T_MEDIDAS[[#This Row],[Riesgos laborales]],"Si","No")</f>
        <v>No</v>
      </c>
      <c r="AI23" s="19"/>
      <c r="AJ23" s="19" t="str">
        <f>IF(T_MEDIDAS[[#This Row],[Educación]],"Si","No")</f>
        <v>No</v>
      </c>
      <c r="AK23" s="19"/>
      <c r="AL23" s="19" t="str">
        <f>IF(T_MEDIDAS[[#This Row],[Servicios sociales]],"Si","No")</f>
        <v>No</v>
      </c>
      <c r="AM23" s="19"/>
      <c r="AN23" s="19" t="str">
        <f>IF(T_MEDIDAS[[#This Row],[Servicios de emergencia y policía]],"Si","No")</f>
        <v>No</v>
      </c>
      <c r="AO23" s="19"/>
      <c r="AP23" s="19" t="str">
        <f>IF(T_MEDIDAS[[#This Row],[Parques y jardines]],"Si","No")</f>
        <v>No</v>
      </c>
      <c r="AQ23" s="19"/>
      <c r="AR23" s="19" t="str">
        <f>IF(T_MEDIDAS[[#This Row],[Transporte]],"Si","No")</f>
        <v>No</v>
      </c>
      <c r="AS23" s="125"/>
      <c r="AT23" s="1" t="str">
        <f>IF(T_MEDIDAS[[#This Row],[Coordinación]],"Si","No")</f>
        <v>No</v>
      </c>
      <c r="AU23" s="2">
        <v>1</v>
      </c>
      <c r="AV23" s="1">
        <v>1</v>
      </c>
      <c r="AW23" s="1">
        <v>1</v>
      </c>
      <c r="AX23" s="1">
        <v>1</v>
      </c>
      <c r="AY23" s="3">
        <v>1</v>
      </c>
      <c r="AZ23" s="43">
        <f>SUMPRODUCT($AT$15:$AX$15,T_MEDIDAS[[#This Row],[&lt;5.000]:[&gt;100.000]])</f>
        <v>1</v>
      </c>
      <c r="BA23" s="1">
        <v>1</v>
      </c>
      <c r="BB23" s="1">
        <v>1</v>
      </c>
      <c r="BC23" s="1">
        <v>1</v>
      </c>
      <c r="BD23" s="1">
        <v>1</v>
      </c>
      <c r="BE23" s="1">
        <v>1</v>
      </c>
      <c r="BF23" s="1">
        <v>1</v>
      </c>
      <c r="BG23" s="1">
        <v>1</v>
      </c>
      <c r="BH23" s="43" cm="1">
        <f t="array" ref="BH23">SUMPRODUCT(--((T_MEDIDAS[[#This Row],[Centros de salud o asistencia social]:[Escuelas / Centros de educación]] + $AZ$15:$BF$15)&gt;0))</f>
        <v>7</v>
      </c>
      <c r="BI23" s="1">
        <v>2</v>
      </c>
      <c r="BJ23" s="1">
        <v>1</v>
      </c>
      <c r="BK23" s="1">
        <v>1</v>
      </c>
      <c r="BL23" s="1">
        <v>2</v>
      </c>
      <c r="BM23" s="1">
        <v>1</v>
      </c>
      <c r="BN23" s="1">
        <v>1</v>
      </c>
      <c r="BO23" s="1">
        <v>1</v>
      </c>
      <c r="BP23" s="1">
        <v>3</v>
      </c>
      <c r="BQ23" s="47" cm="1">
        <f t="array" ref="BQ23">T_MEDIDAS[[#This Row],[Aplicación tamaño]]*(SUMPRODUCT(T_MEDIDAS[[#This Row],[C1_Refrigeración]:[C8_Tiempo]],TRANSPOSE('2.PONDERACIÓN'!$L$13:$L$20))+(ROW(C23)-ROW($C$18)+1)*0.0000000001)*100</f>
        <v>150.00000005999999</v>
      </c>
      <c r="BR23" s="84"/>
      <c r="BS23" s="90"/>
    </row>
    <row r="24" spans="1:71" ht="34.5" hidden="1">
      <c r="A24" s="84"/>
      <c r="B24" s="90"/>
      <c r="C24" s="84"/>
      <c r="D24" s="43">
        <f>IF(T_MEDIDAS[[#This Row],[Peso Criterios]]&lt;=0,"",_xlfn.RANK.EQ(T_MEDIDAS[[#This Row],[Peso Criterios]],T_MEDIDAS[Peso Criterios]))</f>
        <v>135</v>
      </c>
      <c r="E24" s="116" t="s">
        <v>166</v>
      </c>
      <c r="F24" s="117" t="s">
        <v>71</v>
      </c>
      <c r="G24" s="117" t="s">
        <v>47</v>
      </c>
      <c r="H24" s="117" t="s">
        <v>154</v>
      </c>
      <c r="I24" s="117" t="s">
        <v>167</v>
      </c>
      <c r="J24" s="117"/>
      <c r="K24" s="120"/>
      <c r="L24" s="19">
        <v>1</v>
      </c>
      <c r="M24" s="19">
        <v>1</v>
      </c>
      <c r="N24" s="121" t="str">
        <f t="shared" si="0"/>
        <v>€€€</v>
      </c>
      <c r="O24" s="122">
        <v>1</v>
      </c>
      <c r="P24" s="122"/>
      <c r="Q24" s="20"/>
      <c r="R24" s="122"/>
      <c r="S24" s="34" t="str">
        <f>IF(T_MEDIDAS[[#This Row],[No risk (0)]]=1,"■","")</f>
        <v>■</v>
      </c>
      <c r="T24" s="35" t="str">
        <f>IF(T_MEDIDAS[[#This Row],[Low risk (1)]]=1,"■","")</f>
        <v/>
      </c>
      <c r="U24" s="36" t="str">
        <f>IF(T_MEDIDAS[[#This Row],[Medidaium risk (2)]]=1,"■","")</f>
        <v/>
      </c>
      <c r="V24" s="81" t="str">
        <f>IF(T_MEDIDAS[[#This Row],[High risk (3)]]=1,"■","")</f>
        <v/>
      </c>
      <c r="W24" s="19" t="str">
        <f t="shared" si="1"/>
        <v>1. Sin Riesgo (Verde)</v>
      </c>
      <c r="X24" s="19">
        <f>COUNT(T_MEDIDAS[[#This Row],[Edificios públicos]:[Coordinación]])</f>
        <v>2</v>
      </c>
      <c r="Y24" s="19"/>
      <c r="Z24" s="19" t="str">
        <f>IF(T_MEDIDAS[[#This Row],[Edificios públicos]]=1,"Si","No")</f>
        <v>No</v>
      </c>
      <c r="AA24" s="124">
        <v>1</v>
      </c>
      <c r="AB24" s="124" t="str">
        <f>IF(T_MEDIDAS[[#This Row],[Planificación urbana]]=1,"Si","No")</f>
        <v>Si</v>
      </c>
      <c r="AC24" s="19"/>
      <c r="AD24" s="19" t="str">
        <f>IF(T_MEDIDAS[[#This Row],[Cultura y deportes]],"Si","No")</f>
        <v>No</v>
      </c>
      <c r="AE24" s="19"/>
      <c r="AF24" s="19" t="str">
        <f>IF(T_MEDIDAS[[#This Row],[Turismo]],"Si","No")</f>
        <v>No</v>
      </c>
      <c r="AG24" s="19"/>
      <c r="AH24" s="19" t="str">
        <f>IF(T_MEDIDAS[[#This Row],[Riesgos laborales]],"Si","No")</f>
        <v>No</v>
      </c>
      <c r="AI24" s="19"/>
      <c r="AJ24" s="19" t="str">
        <f>IF(T_MEDIDAS[[#This Row],[Educación]],"Si","No")</f>
        <v>No</v>
      </c>
      <c r="AK24" s="19"/>
      <c r="AL24" s="19" t="str">
        <f>IF(T_MEDIDAS[[#This Row],[Servicios sociales]],"Si","No")</f>
        <v>No</v>
      </c>
      <c r="AM24" s="19"/>
      <c r="AN24" s="19" t="str">
        <f>IF(T_MEDIDAS[[#This Row],[Servicios de emergencia y policía]],"Si","No")</f>
        <v>No</v>
      </c>
      <c r="AO24" s="124">
        <v>1</v>
      </c>
      <c r="AP24" s="124" t="str">
        <f>IF(T_MEDIDAS[[#This Row],[Parques y jardines]],"Si","No")</f>
        <v>Si</v>
      </c>
      <c r="AQ24" s="19"/>
      <c r="AR24" s="19" t="str">
        <f>IF(T_MEDIDAS[[#This Row],[Transporte]],"Si","No")</f>
        <v>No</v>
      </c>
      <c r="AS24" s="125"/>
      <c r="AT24" s="1" t="str">
        <f>IF(T_MEDIDAS[[#This Row],[Coordinación]],"Si","No")</f>
        <v>No</v>
      </c>
      <c r="AU24" s="2">
        <v>1</v>
      </c>
      <c r="AV24" s="1">
        <v>1</v>
      </c>
      <c r="AW24" s="1">
        <v>1</v>
      </c>
      <c r="AX24" s="1">
        <v>1</v>
      </c>
      <c r="AY24" s="3">
        <v>1</v>
      </c>
      <c r="AZ24" s="43">
        <f>SUMPRODUCT($AT$15:$AX$15,T_MEDIDAS[[#This Row],[&lt;5.000]:[&gt;100.000]])</f>
        <v>1</v>
      </c>
      <c r="BA24" s="1">
        <v>1</v>
      </c>
      <c r="BB24" s="1">
        <v>1</v>
      </c>
      <c r="BC24" s="1">
        <v>1</v>
      </c>
      <c r="BD24" s="1">
        <v>1</v>
      </c>
      <c r="BE24" s="1">
        <v>1</v>
      </c>
      <c r="BF24" s="1">
        <v>1</v>
      </c>
      <c r="BG24" s="1">
        <v>1</v>
      </c>
      <c r="BH24" s="43" cm="1">
        <f t="array" ref="BH24">SUMPRODUCT(--((T_MEDIDAS[[#This Row],[Centros de salud o asistencia social]:[Escuelas / Centros de educación]] + $AZ$15:$BF$15)&gt;0))</f>
        <v>7</v>
      </c>
      <c r="BI24" s="44">
        <v>1</v>
      </c>
      <c r="BJ24" s="44">
        <v>2</v>
      </c>
      <c r="BK24" s="44">
        <v>1</v>
      </c>
      <c r="BL24" s="44">
        <v>1</v>
      </c>
      <c r="BM24" s="44">
        <v>2</v>
      </c>
      <c r="BN24" s="44">
        <v>1</v>
      </c>
      <c r="BO24" s="44">
        <v>1</v>
      </c>
      <c r="BP24" s="44">
        <v>1</v>
      </c>
      <c r="BQ24" s="47" cm="1">
        <f t="array" ref="BQ24">T_MEDIDAS[[#This Row],[Aplicación tamaño]]*(SUMPRODUCT(T_MEDIDAS[[#This Row],[C1_Refrigeración]:[C8_Tiempo]],TRANSPOSE('2.PONDERACIÓN'!$L$13:$L$20))+(ROW(C24)-ROW($C$18)+1)*0.0000000001)*100</f>
        <v>125.00000007</v>
      </c>
      <c r="BR24" s="84"/>
      <c r="BS24" s="90"/>
    </row>
    <row r="25" spans="1:71" ht="34.5" hidden="1">
      <c r="A25" s="84"/>
      <c r="B25" s="90"/>
      <c r="C25" s="84"/>
      <c r="D25" s="43">
        <f>IF(T_MEDIDAS[[#This Row],[Peso Criterios]]&lt;=0,"",_xlfn.RANK.EQ(T_MEDIDAS[[#This Row],[Peso Criterios]],T_MEDIDAS[Peso Criterios]))</f>
        <v>134</v>
      </c>
      <c r="E25" s="116" t="s">
        <v>168</v>
      </c>
      <c r="F25" s="117" t="s">
        <v>71</v>
      </c>
      <c r="G25" s="117" t="s">
        <v>47</v>
      </c>
      <c r="H25" s="117" t="s">
        <v>154</v>
      </c>
      <c r="I25" s="117" t="s">
        <v>169</v>
      </c>
      <c r="J25" s="117"/>
      <c r="K25" s="120"/>
      <c r="L25" s="19">
        <v>1</v>
      </c>
      <c r="M25" s="19">
        <v>1</v>
      </c>
      <c r="N25" s="121" t="str">
        <f t="shared" si="0"/>
        <v>€€€</v>
      </c>
      <c r="O25" s="122">
        <v>1</v>
      </c>
      <c r="P25" s="122"/>
      <c r="Q25" s="20"/>
      <c r="R25" s="122"/>
      <c r="S25" s="34" t="str">
        <f>IF(T_MEDIDAS[[#This Row],[No risk (0)]]=1,"■","")</f>
        <v>■</v>
      </c>
      <c r="T25" s="35" t="str">
        <f>IF(T_MEDIDAS[[#This Row],[Low risk (1)]]=1,"■","")</f>
        <v/>
      </c>
      <c r="U25" s="36" t="str">
        <f>IF(T_MEDIDAS[[#This Row],[Medidaium risk (2)]]=1,"■","")</f>
        <v/>
      </c>
      <c r="V25" s="81" t="str">
        <f>IF(T_MEDIDAS[[#This Row],[High risk (3)]]=1,"■","")</f>
        <v/>
      </c>
      <c r="W25" s="19" t="str">
        <f t="shared" si="1"/>
        <v>1. Sin Riesgo (Verde)</v>
      </c>
      <c r="X25" s="19">
        <f>COUNT(T_MEDIDAS[[#This Row],[Edificios públicos]:[Coordinación]])</f>
        <v>3</v>
      </c>
      <c r="Y25" s="124">
        <v>1</v>
      </c>
      <c r="Z25" s="124" t="str">
        <f>IF(T_MEDIDAS[[#This Row],[Edificios públicos]]=1,"Si","No")</f>
        <v>Si</v>
      </c>
      <c r="AA25" s="124">
        <v>1</v>
      </c>
      <c r="AB25" s="124" t="str">
        <f>IF(T_MEDIDAS[[#This Row],[Planificación urbana]]=1,"Si","No")</f>
        <v>Si</v>
      </c>
      <c r="AC25" s="19"/>
      <c r="AD25" s="19" t="str">
        <f>IF(T_MEDIDAS[[#This Row],[Cultura y deportes]],"Si","No")</f>
        <v>No</v>
      </c>
      <c r="AE25" s="19"/>
      <c r="AF25" s="19" t="str">
        <f>IF(T_MEDIDAS[[#This Row],[Turismo]],"Si","No")</f>
        <v>No</v>
      </c>
      <c r="AG25" s="19"/>
      <c r="AH25" s="19" t="str">
        <f>IF(T_MEDIDAS[[#This Row],[Riesgos laborales]],"Si","No")</f>
        <v>No</v>
      </c>
      <c r="AI25" s="19"/>
      <c r="AJ25" s="19" t="str">
        <f>IF(T_MEDIDAS[[#This Row],[Educación]],"Si","No")</f>
        <v>No</v>
      </c>
      <c r="AK25" s="19"/>
      <c r="AL25" s="19" t="str">
        <f>IF(T_MEDIDAS[[#This Row],[Servicios sociales]],"Si","No")</f>
        <v>No</v>
      </c>
      <c r="AM25" s="19"/>
      <c r="AN25" s="19" t="str">
        <f>IF(T_MEDIDAS[[#This Row],[Servicios de emergencia y policía]],"Si","No")</f>
        <v>No</v>
      </c>
      <c r="AO25" s="124">
        <v>1</v>
      </c>
      <c r="AP25" s="124" t="str">
        <f>IF(T_MEDIDAS[[#This Row],[Parques y jardines]],"Si","No")</f>
        <v>Si</v>
      </c>
      <c r="AQ25" s="19"/>
      <c r="AR25" s="19" t="str">
        <f>IF(T_MEDIDAS[[#This Row],[Transporte]],"Si","No")</f>
        <v>No</v>
      </c>
      <c r="AS25" s="125"/>
      <c r="AT25" s="1" t="str">
        <f>IF(T_MEDIDAS[[#This Row],[Coordinación]],"Si","No")</f>
        <v>No</v>
      </c>
      <c r="AU25" s="2">
        <v>1</v>
      </c>
      <c r="AV25" s="1">
        <v>1</v>
      </c>
      <c r="AW25" s="1">
        <v>1</v>
      </c>
      <c r="AX25" s="1">
        <v>1</v>
      </c>
      <c r="AY25" s="3">
        <v>1</v>
      </c>
      <c r="AZ25" s="43">
        <f>SUMPRODUCT($AT$15:$AX$15,T_MEDIDAS[[#This Row],[&lt;5.000]:[&gt;100.000]])</f>
        <v>1</v>
      </c>
      <c r="BA25" s="1">
        <v>1</v>
      </c>
      <c r="BB25" s="1"/>
      <c r="BC25" s="1">
        <v>1</v>
      </c>
      <c r="BD25" s="1">
        <v>1</v>
      </c>
      <c r="BE25" s="1">
        <v>1</v>
      </c>
      <c r="BF25" s="1">
        <v>1</v>
      </c>
      <c r="BG25" s="1">
        <v>1</v>
      </c>
      <c r="BH25" s="43" cm="1">
        <f t="array" ref="BH25">SUMPRODUCT(--((T_MEDIDAS[[#This Row],[Centros de salud o asistencia social]:[Escuelas / Centros de educación]] + $AZ$15:$BF$15)&gt;0))</f>
        <v>6</v>
      </c>
      <c r="BI25" s="1">
        <v>2</v>
      </c>
      <c r="BJ25" s="1">
        <v>2</v>
      </c>
      <c r="BK25" s="1">
        <v>1</v>
      </c>
      <c r="BL25" s="1">
        <v>2</v>
      </c>
      <c r="BM25" s="1">
        <v>1</v>
      </c>
      <c r="BN25" s="1">
        <v>1</v>
      </c>
      <c r="BO25" s="1">
        <v>0</v>
      </c>
      <c r="BP25" s="1">
        <v>1</v>
      </c>
      <c r="BQ25" s="47" cm="1">
        <f t="array" ref="BQ25">T_MEDIDAS[[#This Row],[Aplicación tamaño]]*(SUMPRODUCT(T_MEDIDAS[[#This Row],[C1_Refrigeración]:[C8_Tiempo]],TRANSPOSE('2.PONDERACIÓN'!$L$13:$L$20))+(ROW(C25)-ROW($C$18)+1)*0.0000000001)*100</f>
        <v>125.00000008000001</v>
      </c>
      <c r="BR25" s="84"/>
      <c r="BS25" s="90"/>
    </row>
    <row r="26" spans="1:71" ht="34.5" hidden="1">
      <c r="A26" s="84"/>
      <c r="B26" s="90"/>
      <c r="C26" s="84"/>
      <c r="D26" s="43">
        <f>IF(T_MEDIDAS[[#This Row],[Peso Criterios]]&lt;=0,"",_xlfn.RANK.EQ(T_MEDIDAS[[#This Row],[Peso Criterios]],T_MEDIDAS[Peso Criterios]))</f>
        <v>82</v>
      </c>
      <c r="E26" s="116" t="s">
        <v>170</v>
      </c>
      <c r="F26" s="117" t="s">
        <v>71</v>
      </c>
      <c r="G26" s="117" t="s">
        <v>56</v>
      </c>
      <c r="H26" s="117" t="s">
        <v>171</v>
      </c>
      <c r="I26" s="117" t="s">
        <v>172</v>
      </c>
      <c r="J26" s="117"/>
      <c r="K26" s="120">
        <v>1</v>
      </c>
      <c r="L26" s="19"/>
      <c r="M26" s="19"/>
      <c r="N26" s="121" t="str">
        <f t="shared" si="0"/>
        <v>€</v>
      </c>
      <c r="O26" s="122">
        <v>1</v>
      </c>
      <c r="P26" s="122"/>
      <c r="Q26" s="20"/>
      <c r="R26" s="122"/>
      <c r="S26" s="34" t="str">
        <f>IF(T_MEDIDAS[[#This Row],[No risk (0)]]=1,"■","")</f>
        <v>■</v>
      </c>
      <c r="T26" s="35" t="str">
        <f>IF(T_MEDIDAS[[#This Row],[Low risk (1)]]=1,"■","")</f>
        <v/>
      </c>
      <c r="U26" s="36" t="str">
        <f>IF(T_MEDIDAS[[#This Row],[Medidaium risk (2)]]=1,"■","")</f>
        <v/>
      </c>
      <c r="V26" s="81" t="str">
        <f>IF(T_MEDIDAS[[#This Row],[High risk (3)]]=1,"■","")</f>
        <v/>
      </c>
      <c r="W26" s="19" t="str">
        <f t="shared" si="1"/>
        <v>1. Sin Riesgo (Verde)</v>
      </c>
      <c r="X26" s="19">
        <f>COUNT(T_MEDIDAS[[#This Row],[Edificios públicos]:[Coordinación]])</f>
        <v>2</v>
      </c>
      <c r="Y26" s="19"/>
      <c r="Z26" s="19" t="str">
        <f>IF(T_MEDIDAS[[#This Row],[Edificios públicos]]=1,"Si","No")</f>
        <v>No</v>
      </c>
      <c r="AA26" s="124">
        <v>1</v>
      </c>
      <c r="AB26" s="124" t="str">
        <f>IF(T_MEDIDAS[[#This Row],[Planificación urbana]]=1,"Si","No")</f>
        <v>Si</v>
      </c>
      <c r="AC26" s="19"/>
      <c r="AD26" s="19" t="str">
        <f>IF(T_MEDIDAS[[#This Row],[Cultura y deportes]],"Si","No")</f>
        <v>No</v>
      </c>
      <c r="AE26" s="19"/>
      <c r="AF26" s="19" t="str">
        <f>IF(T_MEDIDAS[[#This Row],[Turismo]],"Si","No")</f>
        <v>No</v>
      </c>
      <c r="AG26" s="19"/>
      <c r="AH26" s="19" t="str">
        <f>IF(T_MEDIDAS[[#This Row],[Riesgos laborales]],"Si","No")</f>
        <v>No</v>
      </c>
      <c r="AI26" s="19"/>
      <c r="AJ26" s="19" t="str">
        <f>IF(T_MEDIDAS[[#This Row],[Educación]],"Si","No")</f>
        <v>No</v>
      </c>
      <c r="AK26" s="19"/>
      <c r="AL26" s="19" t="str">
        <f>IF(T_MEDIDAS[[#This Row],[Servicios sociales]],"Si","No")</f>
        <v>No</v>
      </c>
      <c r="AM26" s="19"/>
      <c r="AN26" s="19" t="str">
        <f>IF(T_MEDIDAS[[#This Row],[Servicios de emergencia y policía]],"Si","No")</f>
        <v>No</v>
      </c>
      <c r="AO26" s="124">
        <v>1</v>
      </c>
      <c r="AP26" s="124" t="str">
        <f>IF(T_MEDIDAS[[#This Row],[Parques y jardines]],"Si","No")</f>
        <v>Si</v>
      </c>
      <c r="AQ26" s="19"/>
      <c r="AR26" s="19" t="str">
        <f>IF(T_MEDIDAS[[#This Row],[Transporte]],"Si","No")</f>
        <v>No</v>
      </c>
      <c r="AS26" s="125"/>
      <c r="AT26" s="1" t="str">
        <f>IF(T_MEDIDAS[[#This Row],[Coordinación]],"Si","No")</f>
        <v>No</v>
      </c>
      <c r="AU26" s="2">
        <v>1</v>
      </c>
      <c r="AV26" s="1">
        <v>1</v>
      </c>
      <c r="AW26" s="1">
        <v>1</v>
      </c>
      <c r="AX26" s="1">
        <v>1</v>
      </c>
      <c r="AY26" s="3">
        <v>1</v>
      </c>
      <c r="AZ26" s="43">
        <f>SUMPRODUCT($AT$15:$AX$15,T_MEDIDAS[[#This Row],[&lt;5.000]:[&gt;100.000]])</f>
        <v>1</v>
      </c>
      <c r="BA26" s="1">
        <v>1</v>
      </c>
      <c r="BB26" s="1">
        <v>1</v>
      </c>
      <c r="BC26" s="1">
        <v>1</v>
      </c>
      <c r="BD26" s="1">
        <v>1</v>
      </c>
      <c r="BE26" s="1">
        <v>1</v>
      </c>
      <c r="BF26" s="1">
        <v>1</v>
      </c>
      <c r="BG26" s="1">
        <v>1</v>
      </c>
      <c r="BH26" s="43" cm="1">
        <f t="array" ref="BH26">SUMPRODUCT(--((T_MEDIDAS[[#This Row],[Centros de salud o asistencia social]:[Escuelas / Centros de educación]] + $AZ$15:$BF$15)&gt;0))</f>
        <v>7</v>
      </c>
      <c r="BI26" s="44">
        <v>2</v>
      </c>
      <c r="BJ26" s="44">
        <v>0</v>
      </c>
      <c r="BK26" s="44">
        <v>1</v>
      </c>
      <c r="BL26" s="44">
        <v>2</v>
      </c>
      <c r="BM26" s="44">
        <v>2</v>
      </c>
      <c r="BN26" s="44">
        <v>2</v>
      </c>
      <c r="BO26" s="44">
        <v>3</v>
      </c>
      <c r="BP26" s="44">
        <v>3</v>
      </c>
      <c r="BQ26" s="47" cm="1">
        <f t="array" ref="BQ26">T_MEDIDAS[[#This Row],[Aplicación tamaño]]*(SUMPRODUCT(T_MEDIDAS[[#This Row],[C1_Refrigeración]:[C8_Tiempo]],TRANSPOSE('2.PONDERACIÓN'!$L$13:$L$20))+(ROW(C26)-ROW($C$18)+1)*0.0000000001)*100</f>
        <v>187.50000009000001</v>
      </c>
      <c r="BR26" s="84"/>
      <c r="BS26" s="90"/>
    </row>
    <row r="27" spans="1:71" ht="34.5" hidden="1">
      <c r="A27" s="84"/>
      <c r="B27" s="90"/>
      <c r="C27" s="84"/>
      <c r="D27" s="43">
        <f>IF(T_MEDIDAS[[#This Row],[Peso Criterios]]&lt;=0,"",_xlfn.RANK.EQ(T_MEDIDAS[[#This Row],[Peso Criterios]],T_MEDIDAS[Peso Criterios]))</f>
        <v>140</v>
      </c>
      <c r="E27" s="116" t="s">
        <v>173</v>
      </c>
      <c r="F27" s="117" t="s">
        <v>71</v>
      </c>
      <c r="G27" s="117" t="s">
        <v>47</v>
      </c>
      <c r="H27" s="117" t="s">
        <v>154</v>
      </c>
      <c r="I27" s="117" t="s">
        <v>174</v>
      </c>
      <c r="J27" s="117"/>
      <c r="K27" s="120"/>
      <c r="L27" s="19"/>
      <c r="M27" s="19">
        <v>1</v>
      </c>
      <c r="N27" s="121" t="str">
        <f t="shared" si="0"/>
        <v>€€€</v>
      </c>
      <c r="O27" s="122">
        <v>1</v>
      </c>
      <c r="P27" s="122"/>
      <c r="Q27" s="20"/>
      <c r="R27" s="122"/>
      <c r="S27" s="34" t="str">
        <f>IF(T_MEDIDAS[[#This Row],[No risk (0)]]=1,"■","")</f>
        <v>■</v>
      </c>
      <c r="T27" s="35" t="str">
        <f>IF(T_MEDIDAS[[#This Row],[Low risk (1)]]=1,"■","")</f>
        <v/>
      </c>
      <c r="U27" s="36" t="str">
        <f>IF(T_MEDIDAS[[#This Row],[Medidaium risk (2)]]=1,"■","")</f>
        <v/>
      </c>
      <c r="V27" s="81" t="str">
        <f>IF(T_MEDIDAS[[#This Row],[High risk (3)]]=1,"■","")</f>
        <v/>
      </c>
      <c r="W27" s="19" t="str">
        <f t="shared" si="1"/>
        <v>1. Sin Riesgo (Verde)</v>
      </c>
      <c r="X27" s="19">
        <f>COUNT(T_MEDIDAS[[#This Row],[Edificios públicos]:[Coordinación]])</f>
        <v>2</v>
      </c>
      <c r="Y27" s="19"/>
      <c r="Z27" s="19" t="str">
        <f>IF(T_MEDIDAS[[#This Row],[Edificios públicos]]=1,"Si","No")</f>
        <v>No</v>
      </c>
      <c r="AA27" s="124">
        <v>1</v>
      </c>
      <c r="AB27" s="124" t="str">
        <f>IF(T_MEDIDAS[[#This Row],[Planificación urbana]]=1,"Si","No")</f>
        <v>Si</v>
      </c>
      <c r="AC27" s="19"/>
      <c r="AD27" s="19" t="str">
        <f>IF(T_MEDIDAS[[#This Row],[Cultura y deportes]],"Si","No")</f>
        <v>No</v>
      </c>
      <c r="AE27" s="19"/>
      <c r="AF27" s="19" t="str">
        <f>IF(T_MEDIDAS[[#This Row],[Turismo]],"Si","No")</f>
        <v>No</v>
      </c>
      <c r="AG27" s="19"/>
      <c r="AH27" s="19" t="str">
        <f>IF(T_MEDIDAS[[#This Row],[Riesgos laborales]],"Si","No")</f>
        <v>No</v>
      </c>
      <c r="AI27" s="19"/>
      <c r="AJ27" s="19" t="str">
        <f>IF(T_MEDIDAS[[#This Row],[Educación]],"Si","No")</f>
        <v>No</v>
      </c>
      <c r="AK27" s="19"/>
      <c r="AL27" s="19" t="str">
        <f>IF(T_MEDIDAS[[#This Row],[Servicios sociales]],"Si","No")</f>
        <v>No</v>
      </c>
      <c r="AM27" s="19"/>
      <c r="AN27" s="19" t="str">
        <f>IF(T_MEDIDAS[[#This Row],[Servicios de emergencia y policía]],"Si","No")</f>
        <v>No</v>
      </c>
      <c r="AO27" s="124">
        <v>1</v>
      </c>
      <c r="AP27" s="124" t="str">
        <f>IF(T_MEDIDAS[[#This Row],[Parques y jardines]],"Si","No")</f>
        <v>Si</v>
      </c>
      <c r="AQ27" s="19"/>
      <c r="AR27" s="19" t="str">
        <f>IF(T_MEDIDAS[[#This Row],[Transporte]],"Si","No")</f>
        <v>No</v>
      </c>
      <c r="AS27" s="125"/>
      <c r="AT27" s="1" t="str">
        <f>IF(T_MEDIDAS[[#This Row],[Coordinación]],"Si","No")</f>
        <v>No</v>
      </c>
      <c r="AU27" s="2">
        <v>1</v>
      </c>
      <c r="AV27" s="1">
        <v>1</v>
      </c>
      <c r="AW27" s="1">
        <v>1</v>
      </c>
      <c r="AX27" s="1">
        <v>1</v>
      </c>
      <c r="AY27" s="3">
        <v>1</v>
      </c>
      <c r="AZ27" s="43">
        <f>SUMPRODUCT($AT$15:$AX$15,T_MEDIDAS[[#This Row],[&lt;5.000]:[&gt;100.000]])</f>
        <v>1</v>
      </c>
      <c r="BA27" s="1">
        <v>1</v>
      </c>
      <c r="BB27" s="1">
        <v>1</v>
      </c>
      <c r="BC27" s="1">
        <v>1</v>
      </c>
      <c r="BD27" s="1">
        <v>1</v>
      </c>
      <c r="BE27" s="1">
        <v>1</v>
      </c>
      <c r="BF27" s="1">
        <v>1</v>
      </c>
      <c r="BG27" s="1">
        <v>1</v>
      </c>
      <c r="BH27" s="43" cm="1">
        <f t="array" ref="BH27">SUMPRODUCT(--((T_MEDIDAS[[#This Row],[Centros de salud o asistencia social]:[Escuelas / Centros de educación]] + $AZ$15:$BF$15)&gt;0))</f>
        <v>7</v>
      </c>
      <c r="BI27" s="1">
        <v>3</v>
      </c>
      <c r="BJ27" s="1">
        <v>3</v>
      </c>
      <c r="BK27" s="1">
        <v>1</v>
      </c>
      <c r="BL27" s="1">
        <v>2</v>
      </c>
      <c r="BM27" s="1">
        <v>0</v>
      </c>
      <c r="BN27" s="1">
        <v>0</v>
      </c>
      <c r="BO27" s="1">
        <v>0</v>
      </c>
      <c r="BP27" s="1">
        <v>0</v>
      </c>
      <c r="BQ27" s="47" cm="1">
        <f t="array" ref="BQ27">T_MEDIDAS[[#This Row],[Aplicación tamaño]]*(SUMPRODUCT(T_MEDIDAS[[#This Row],[C1_Refrigeración]:[C8_Tiempo]],TRANSPOSE('2.PONDERACIÓN'!$L$13:$L$20))+(ROW(C27)-ROW($C$18)+1)*0.0000000001)*100</f>
        <v>112.50000010000001</v>
      </c>
      <c r="BR27" s="84"/>
      <c r="BS27" s="90"/>
    </row>
    <row r="28" spans="1:71" ht="34.5" hidden="1">
      <c r="A28" s="84"/>
      <c r="B28" s="90"/>
      <c r="C28" s="84"/>
      <c r="D28" s="43">
        <f>IF(T_MEDIDAS[[#This Row],[Peso Criterios]]&lt;=0,"",_xlfn.RANK.EQ(T_MEDIDAS[[#This Row],[Peso Criterios]],T_MEDIDAS[Peso Criterios]))</f>
        <v>81</v>
      </c>
      <c r="E28" s="116" t="s">
        <v>175</v>
      </c>
      <c r="F28" s="117" t="s">
        <v>71</v>
      </c>
      <c r="G28" s="117" t="s">
        <v>47</v>
      </c>
      <c r="H28" s="117" t="s">
        <v>157</v>
      </c>
      <c r="I28" s="126" t="s">
        <v>176</v>
      </c>
      <c r="J28" s="126"/>
      <c r="K28" s="120"/>
      <c r="L28" s="19">
        <v>1</v>
      </c>
      <c r="M28" s="19"/>
      <c r="N28" s="121" t="str">
        <f t="shared" si="0"/>
        <v>€€</v>
      </c>
      <c r="O28" s="122">
        <v>1</v>
      </c>
      <c r="P28" s="122"/>
      <c r="Q28" s="20"/>
      <c r="R28" s="122"/>
      <c r="S28" s="34" t="str">
        <f>IF(T_MEDIDAS[[#This Row],[No risk (0)]]=1,"■","")</f>
        <v>■</v>
      </c>
      <c r="T28" s="35" t="str">
        <f>IF(T_MEDIDAS[[#This Row],[Low risk (1)]]=1,"■","")</f>
        <v/>
      </c>
      <c r="U28" s="36" t="str">
        <f>IF(T_MEDIDAS[[#This Row],[Medidaium risk (2)]]=1,"■","")</f>
        <v/>
      </c>
      <c r="V28" s="81" t="str">
        <f>IF(T_MEDIDAS[[#This Row],[High risk (3)]]=1,"■","")</f>
        <v/>
      </c>
      <c r="W28" s="19" t="str">
        <f t="shared" si="1"/>
        <v>1. Sin Riesgo (Verde)</v>
      </c>
      <c r="X28" s="19">
        <f>COUNT(T_MEDIDAS[[#This Row],[Edificios públicos]:[Coordinación]])</f>
        <v>2</v>
      </c>
      <c r="Y28" s="124">
        <v>1</v>
      </c>
      <c r="Z28" s="124" t="str">
        <f>IF(T_MEDIDAS[[#This Row],[Edificios públicos]]=1,"Si","No")</f>
        <v>Si</v>
      </c>
      <c r="AA28" s="19"/>
      <c r="AB28" s="19" t="str">
        <f>IF(T_MEDIDAS[[#This Row],[Planificación urbana]]=1,"Si","No")</f>
        <v>No</v>
      </c>
      <c r="AC28" s="19"/>
      <c r="AD28" s="19" t="str">
        <f>IF(T_MEDIDAS[[#This Row],[Cultura y deportes]],"Si","No")</f>
        <v>No</v>
      </c>
      <c r="AE28" s="19"/>
      <c r="AF28" s="19" t="str">
        <f>IF(T_MEDIDAS[[#This Row],[Turismo]],"Si","No")</f>
        <v>No</v>
      </c>
      <c r="AG28" s="19"/>
      <c r="AH28" s="19" t="str">
        <f>IF(T_MEDIDAS[[#This Row],[Riesgos laborales]],"Si","No")</f>
        <v>No</v>
      </c>
      <c r="AI28" s="19"/>
      <c r="AJ28" s="19" t="str">
        <f>IF(T_MEDIDAS[[#This Row],[Educación]],"Si","No")</f>
        <v>No</v>
      </c>
      <c r="AK28" s="19"/>
      <c r="AL28" s="19" t="str">
        <f>IF(T_MEDIDAS[[#This Row],[Servicios sociales]],"Si","No")</f>
        <v>No</v>
      </c>
      <c r="AM28" s="19"/>
      <c r="AN28" s="19" t="str">
        <f>IF(T_MEDIDAS[[#This Row],[Servicios de emergencia y policía]],"Si","No")</f>
        <v>No</v>
      </c>
      <c r="AO28" s="124">
        <v>1</v>
      </c>
      <c r="AP28" s="124" t="str">
        <f>IF(T_MEDIDAS[[#This Row],[Parques y jardines]],"Si","No")</f>
        <v>Si</v>
      </c>
      <c r="AQ28" s="19"/>
      <c r="AR28" s="19" t="str">
        <f>IF(T_MEDIDAS[[#This Row],[Transporte]],"Si","No")</f>
        <v>No</v>
      </c>
      <c r="AS28" s="125"/>
      <c r="AT28" s="1" t="str">
        <f>IF(T_MEDIDAS[[#This Row],[Coordinación]],"Si","No")</f>
        <v>No</v>
      </c>
      <c r="AU28" s="2">
        <v>1</v>
      </c>
      <c r="AV28" s="1">
        <v>1</v>
      </c>
      <c r="AW28" s="1">
        <v>1</v>
      </c>
      <c r="AX28" s="1">
        <v>1</v>
      </c>
      <c r="AY28" s="3">
        <v>1</v>
      </c>
      <c r="AZ28" s="43">
        <f>SUMPRODUCT($AT$15:$AX$15,T_MEDIDAS[[#This Row],[&lt;5.000]:[&gt;100.000]])</f>
        <v>1</v>
      </c>
      <c r="BA28" s="1">
        <v>1</v>
      </c>
      <c r="BB28" s="1">
        <v>1</v>
      </c>
      <c r="BC28" s="1">
        <v>1</v>
      </c>
      <c r="BD28" s="1">
        <v>1</v>
      </c>
      <c r="BE28" s="1">
        <v>1</v>
      </c>
      <c r="BF28" s="1">
        <v>1</v>
      </c>
      <c r="BG28" s="1">
        <v>1</v>
      </c>
      <c r="BH28" s="43" cm="1">
        <f t="array" ref="BH28">SUMPRODUCT(--((T_MEDIDAS[[#This Row],[Centros de salud o asistencia social]:[Escuelas / Centros de educación]] + $AZ$15:$BF$15)&gt;0))</f>
        <v>7</v>
      </c>
      <c r="BI28" s="44">
        <v>2</v>
      </c>
      <c r="BJ28" s="44">
        <v>0</v>
      </c>
      <c r="BK28" s="44">
        <v>3</v>
      </c>
      <c r="BL28" s="44">
        <v>3</v>
      </c>
      <c r="BM28" s="44">
        <v>2</v>
      </c>
      <c r="BN28" s="44">
        <v>1</v>
      </c>
      <c r="BO28" s="44">
        <v>2</v>
      </c>
      <c r="BP28" s="44">
        <v>2</v>
      </c>
      <c r="BQ28" s="47" cm="1">
        <f t="array" ref="BQ28">T_MEDIDAS[[#This Row],[Aplicación tamaño]]*(SUMPRODUCT(T_MEDIDAS[[#This Row],[C1_Refrigeración]:[C8_Tiempo]],TRANSPOSE('2.PONDERACIÓN'!$L$13:$L$20))+(ROW(C28)-ROW($C$18)+1)*0.0000000001)*100</f>
        <v>187.50000011</v>
      </c>
      <c r="BR28" s="84"/>
      <c r="BS28" s="90"/>
    </row>
    <row r="29" spans="1:71" ht="34.5" hidden="1">
      <c r="A29" s="84"/>
      <c r="B29" s="90"/>
      <c r="C29" s="84"/>
      <c r="D29" s="43">
        <f>IF(T_MEDIDAS[[#This Row],[Peso Criterios]]&lt;=0,"",_xlfn.RANK.EQ(T_MEDIDAS[[#This Row],[Peso Criterios]],T_MEDIDAS[Peso Criterios]))</f>
        <v>103</v>
      </c>
      <c r="E29" s="116" t="s">
        <v>177</v>
      </c>
      <c r="F29" s="117" t="s">
        <v>71</v>
      </c>
      <c r="G29" s="117" t="s">
        <v>47</v>
      </c>
      <c r="H29" s="117" t="s">
        <v>157</v>
      </c>
      <c r="I29" s="117" t="s">
        <v>178</v>
      </c>
      <c r="J29" s="117"/>
      <c r="K29" s="120"/>
      <c r="L29" s="19">
        <v>1</v>
      </c>
      <c r="M29" s="19"/>
      <c r="N29" s="121" t="str">
        <f t="shared" si="0"/>
        <v>€€</v>
      </c>
      <c r="O29" s="122">
        <v>1</v>
      </c>
      <c r="P29" s="122"/>
      <c r="Q29" s="20"/>
      <c r="R29" s="122"/>
      <c r="S29" s="34" t="str">
        <f>IF(T_MEDIDAS[[#This Row],[No risk (0)]]=1,"■","")</f>
        <v>■</v>
      </c>
      <c r="T29" s="35" t="str">
        <f>IF(T_MEDIDAS[[#This Row],[Low risk (1)]]=1,"■","")</f>
        <v/>
      </c>
      <c r="U29" s="36" t="str">
        <f>IF(T_MEDIDAS[[#This Row],[Medidaium risk (2)]]=1,"■","")</f>
        <v/>
      </c>
      <c r="V29" s="81" t="str">
        <f>IF(T_MEDIDAS[[#This Row],[High risk (3)]]=1,"■","")</f>
        <v/>
      </c>
      <c r="W29" s="19" t="str">
        <f t="shared" si="1"/>
        <v>1. Sin Riesgo (Verde)</v>
      </c>
      <c r="X29" s="19">
        <f>COUNT(T_MEDIDAS[[#This Row],[Edificios públicos]:[Coordinación]])</f>
        <v>3</v>
      </c>
      <c r="Y29" s="124">
        <v>1</v>
      </c>
      <c r="Z29" s="124" t="str">
        <f>IF(T_MEDIDAS[[#This Row],[Edificios públicos]]=1,"Si","No")</f>
        <v>Si</v>
      </c>
      <c r="AA29" s="19"/>
      <c r="AB29" s="19" t="str">
        <f>IF(T_MEDIDAS[[#This Row],[Planificación urbana]]=1,"Si","No")</f>
        <v>No</v>
      </c>
      <c r="AC29" s="124">
        <v>1</v>
      </c>
      <c r="AD29" s="124" t="str">
        <f>IF(T_MEDIDAS[[#This Row],[Cultura y deportes]],"Si","No")</f>
        <v>Si</v>
      </c>
      <c r="AE29" s="19"/>
      <c r="AF29" s="19" t="str">
        <f>IF(T_MEDIDAS[[#This Row],[Turismo]],"Si","No")</f>
        <v>No</v>
      </c>
      <c r="AG29" s="19"/>
      <c r="AH29" s="19" t="str">
        <f>IF(T_MEDIDAS[[#This Row],[Riesgos laborales]],"Si","No")</f>
        <v>No</v>
      </c>
      <c r="AI29" s="124">
        <v>1</v>
      </c>
      <c r="AJ29" s="124" t="str">
        <f>IF(T_MEDIDAS[[#This Row],[Educación]],"Si","No")</f>
        <v>Si</v>
      </c>
      <c r="AK29" s="19"/>
      <c r="AL29" s="19" t="str">
        <f>IF(T_MEDIDAS[[#This Row],[Servicios sociales]],"Si","No")</f>
        <v>No</v>
      </c>
      <c r="AM29" s="19"/>
      <c r="AN29" s="19" t="str">
        <f>IF(T_MEDIDAS[[#This Row],[Servicios de emergencia y policía]],"Si","No")</f>
        <v>No</v>
      </c>
      <c r="AO29" s="19"/>
      <c r="AP29" s="19" t="str">
        <f>IF(T_MEDIDAS[[#This Row],[Parques y jardines]],"Si","No")</f>
        <v>No</v>
      </c>
      <c r="AQ29" s="19"/>
      <c r="AR29" s="19" t="str">
        <f>IF(T_MEDIDAS[[#This Row],[Transporte]],"Si","No")</f>
        <v>No</v>
      </c>
      <c r="AS29" s="125"/>
      <c r="AT29" s="1" t="str">
        <f>IF(T_MEDIDAS[[#This Row],[Coordinación]],"Si","No")</f>
        <v>No</v>
      </c>
      <c r="AU29" s="2">
        <v>1</v>
      </c>
      <c r="AV29" s="1">
        <v>1</v>
      </c>
      <c r="AW29" s="1">
        <v>1</v>
      </c>
      <c r="AX29" s="1">
        <v>1</v>
      </c>
      <c r="AY29" s="3">
        <v>1</v>
      </c>
      <c r="AZ29" s="43">
        <f>SUMPRODUCT($AT$15:$AX$15,T_MEDIDAS[[#This Row],[&lt;5.000]:[&gt;100.000]])</f>
        <v>1</v>
      </c>
      <c r="BA29" s="1"/>
      <c r="BB29" s="1"/>
      <c r="BC29" s="1">
        <v>1</v>
      </c>
      <c r="BD29" s="1">
        <v>1</v>
      </c>
      <c r="BE29" s="1">
        <v>1</v>
      </c>
      <c r="BF29" s="1">
        <v>1</v>
      </c>
      <c r="BG29" s="1">
        <v>1</v>
      </c>
      <c r="BH29" s="43" cm="1">
        <f t="array" ref="BH29">SUMPRODUCT(--((T_MEDIDAS[[#This Row],[Centros de salud o asistencia social]:[Escuelas / Centros de educación]] + $AZ$15:$BF$15)&gt;0))</f>
        <v>5</v>
      </c>
      <c r="BI29" s="1">
        <v>1</v>
      </c>
      <c r="BJ29" s="1">
        <v>0</v>
      </c>
      <c r="BK29" s="1">
        <v>1</v>
      </c>
      <c r="BL29" s="1">
        <v>1</v>
      </c>
      <c r="BM29" s="1">
        <v>3</v>
      </c>
      <c r="BN29" s="1">
        <v>2</v>
      </c>
      <c r="BO29" s="1">
        <v>3</v>
      </c>
      <c r="BP29" s="1">
        <v>3</v>
      </c>
      <c r="BQ29" s="47" cm="1">
        <f t="array" ref="BQ29">T_MEDIDAS[[#This Row],[Aplicación tamaño]]*(SUMPRODUCT(T_MEDIDAS[[#This Row],[C1_Refrigeración]:[C8_Tiempo]],TRANSPOSE('2.PONDERACIÓN'!$L$13:$L$20))+(ROW(C29)-ROW($C$18)+1)*0.0000000001)*100</f>
        <v>175.00000012000001</v>
      </c>
      <c r="BR29" s="84"/>
      <c r="BS29" s="90"/>
    </row>
    <row r="30" spans="1:71" ht="34.5" hidden="1">
      <c r="A30" s="84"/>
      <c r="B30" s="90"/>
      <c r="C30" s="84"/>
      <c r="D30" s="43">
        <f>IF(T_MEDIDAS[[#This Row],[Peso Criterios]]&lt;=0,"",_xlfn.RANK.EQ(T_MEDIDAS[[#This Row],[Peso Criterios]],T_MEDIDAS[Peso Criterios]))</f>
        <v>118</v>
      </c>
      <c r="E30" s="116" t="s">
        <v>179</v>
      </c>
      <c r="F30" s="117" t="s">
        <v>71</v>
      </c>
      <c r="G30" s="117" t="s">
        <v>50</v>
      </c>
      <c r="H30" s="117" t="s">
        <v>151</v>
      </c>
      <c r="I30" s="126" t="s">
        <v>180</v>
      </c>
      <c r="J30" s="126"/>
      <c r="K30" s="120">
        <v>1</v>
      </c>
      <c r="L30" s="19"/>
      <c r="M30" s="19"/>
      <c r="N30" s="121" t="str">
        <f t="shared" si="0"/>
        <v>€</v>
      </c>
      <c r="O30" s="122">
        <v>1</v>
      </c>
      <c r="P30" s="122"/>
      <c r="Q30" s="20"/>
      <c r="R30" s="122"/>
      <c r="S30" s="34" t="str">
        <f>IF(T_MEDIDAS[[#This Row],[No risk (0)]]=1,"■","")</f>
        <v>■</v>
      </c>
      <c r="T30" s="35" t="str">
        <f>IF(T_MEDIDAS[[#This Row],[Low risk (1)]]=1,"■","")</f>
        <v/>
      </c>
      <c r="U30" s="36" t="str">
        <f>IF(T_MEDIDAS[[#This Row],[Medidaium risk (2)]]=1,"■","")</f>
        <v/>
      </c>
      <c r="V30" s="81" t="str">
        <f>IF(T_MEDIDAS[[#This Row],[High risk (3)]]=1,"■","")</f>
        <v/>
      </c>
      <c r="W30" s="19" t="str">
        <f t="shared" si="1"/>
        <v>1. Sin Riesgo (Verde)</v>
      </c>
      <c r="X30" s="19">
        <f>COUNT(T_MEDIDAS[[#This Row],[Edificios públicos]:[Coordinación]])</f>
        <v>1</v>
      </c>
      <c r="Y30" s="19"/>
      <c r="Z30" s="19" t="str">
        <f>IF(T_MEDIDAS[[#This Row],[Edificios públicos]]=1,"Si","No")</f>
        <v>No</v>
      </c>
      <c r="AA30" s="19"/>
      <c r="AB30" s="19" t="str">
        <f>IF(T_MEDIDAS[[#This Row],[Planificación urbana]]=1,"Si","No")</f>
        <v>No</v>
      </c>
      <c r="AC30" s="19"/>
      <c r="AD30" s="19" t="str">
        <f>IF(T_MEDIDAS[[#This Row],[Cultura y deportes]],"Si","No")</f>
        <v>No</v>
      </c>
      <c r="AE30" s="124">
        <v>1</v>
      </c>
      <c r="AF30" s="124" t="str">
        <f>IF(T_MEDIDAS[[#This Row],[Turismo]],"Si","No")</f>
        <v>Si</v>
      </c>
      <c r="AG30" s="19"/>
      <c r="AH30" s="19" t="str">
        <f>IF(T_MEDIDAS[[#This Row],[Riesgos laborales]],"Si","No")</f>
        <v>No</v>
      </c>
      <c r="AI30" s="19"/>
      <c r="AJ30" s="19" t="str">
        <f>IF(T_MEDIDAS[[#This Row],[Educación]],"Si","No")</f>
        <v>No</v>
      </c>
      <c r="AK30" s="19"/>
      <c r="AL30" s="19" t="str">
        <f>IF(T_MEDIDAS[[#This Row],[Servicios sociales]],"Si","No")</f>
        <v>No</v>
      </c>
      <c r="AM30" s="19"/>
      <c r="AN30" s="19" t="str">
        <f>IF(T_MEDIDAS[[#This Row],[Servicios de emergencia y policía]],"Si","No")</f>
        <v>No</v>
      </c>
      <c r="AO30" s="19"/>
      <c r="AP30" s="19" t="str">
        <f>IF(T_MEDIDAS[[#This Row],[Parques y jardines]],"Si","No")</f>
        <v>No</v>
      </c>
      <c r="AQ30" s="19"/>
      <c r="AR30" s="19" t="str">
        <f>IF(T_MEDIDAS[[#This Row],[Transporte]],"Si","No")</f>
        <v>No</v>
      </c>
      <c r="AS30" s="125"/>
      <c r="AT30" s="1" t="str">
        <f>IF(T_MEDIDAS[[#This Row],[Coordinación]],"Si","No")</f>
        <v>No</v>
      </c>
      <c r="AU30" s="2">
        <v>1</v>
      </c>
      <c r="AV30" s="1">
        <v>1</v>
      </c>
      <c r="AW30" s="1">
        <v>1</v>
      </c>
      <c r="AX30" s="1">
        <v>1</v>
      </c>
      <c r="AY30" s="3">
        <v>1</v>
      </c>
      <c r="AZ30" s="43">
        <f>SUMPRODUCT($AT$15:$AX$15,T_MEDIDAS[[#This Row],[&lt;5.000]:[&gt;100.000]])</f>
        <v>1</v>
      </c>
      <c r="BA30" s="1">
        <v>1</v>
      </c>
      <c r="BB30" s="1">
        <v>1</v>
      </c>
      <c r="BC30" s="1">
        <v>1</v>
      </c>
      <c r="BD30" s="1">
        <v>1</v>
      </c>
      <c r="BE30" s="1">
        <v>1</v>
      </c>
      <c r="BF30" s="1">
        <v>1</v>
      </c>
      <c r="BG30" s="1">
        <v>1</v>
      </c>
      <c r="BH30" s="43" cm="1">
        <f t="array" ref="BH30">SUMPRODUCT(--((T_MEDIDAS[[#This Row],[Centros de salud o asistencia social]:[Escuelas / Centros de educación]] + $AZ$15:$BF$15)&gt;0))</f>
        <v>7</v>
      </c>
      <c r="BI30" s="44">
        <v>0</v>
      </c>
      <c r="BJ30" s="44">
        <v>0</v>
      </c>
      <c r="BK30" s="44">
        <v>0</v>
      </c>
      <c r="BL30" s="44">
        <v>2</v>
      </c>
      <c r="BM30" s="44">
        <v>3</v>
      </c>
      <c r="BN30" s="44">
        <v>2</v>
      </c>
      <c r="BO30" s="44">
        <v>3</v>
      </c>
      <c r="BP30" s="44">
        <v>3</v>
      </c>
      <c r="BQ30" s="47" cm="1">
        <f t="array" ref="BQ30">T_MEDIDAS[[#This Row],[Aplicación tamaño]]*(SUMPRODUCT(T_MEDIDAS[[#This Row],[C1_Refrigeración]:[C8_Tiempo]],TRANSPOSE('2.PONDERACIÓN'!$L$13:$L$20))+(ROW(C30)-ROW($C$18)+1)*0.0000000001)*100</f>
        <v>162.50000013000002</v>
      </c>
      <c r="BR30" s="84"/>
      <c r="BS30" s="90"/>
    </row>
    <row r="31" spans="1:71" ht="34.5" hidden="1">
      <c r="A31" s="84"/>
      <c r="B31" s="90"/>
      <c r="C31" s="84"/>
      <c r="D31" s="43">
        <f>IF(T_MEDIDAS[[#This Row],[Peso Criterios]]&lt;=0,"",_xlfn.RANK.EQ(T_MEDIDAS[[#This Row],[Peso Criterios]],T_MEDIDAS[Peso Criterios]))</f>
        <v>141</v>
      </c>
      <c r="E31" s="116" t="s">
        <v>181</v>
      </c>
      <c r="F31" s="117" t="s">
        <v>71</v>
      </c>
      <c r="G31" s="117" t="s">
        <v>50</v>
      </c>
      <c r="H31" s="117" t="s">
        <v>151</v>
      </c>
      <c r="I31" s="117" t="s">
        <v>182</v>
      </c>
      <c r="J31" s="117"/>
      <c r="K31" s="120">
        <v>1</v>
      </c>
      <c r="L31" s="19"/>
      <c r="M31" s="19"/>
      <c r="N31" s="121" t="str">
        <f t="shared" si="0"/>
        <v>€</v>
      </c>
      <c r="O31" s="122">
        <v>1</v>
      </c>
      <c r="P31" s="122"/>
      <c r="Q31" s="20"/>
      <c r="R31" s="122"/>
      <c r="S31" s="34" t="str">
        <f>IF(T_MEDIDAS[[#This Row],[No risk (0)]]=1,"■","")</f>
        <v>■</v>
      </c>
      <c r="T31" s="35" t="str">
        <f>IF(T_MEDIDAS[[#This Row],[Low risk (1)]]=1,"■","")</f>
        <v/>
      </c>
      <c r="U31" s="36" t="str">
        <f>IF(T_MEDIDAS[[#This Row],[Medidaium risk (2)]]=1,"■","")</f>
        <v/>
      </c>
      <c r="V31" s="81" t="str">
        <f>IF(T_MEDIDAS[[#This Row],[High risk (3)]]=1,"■","")</f>
        <v/>
      </c>
      <c r="W31" s="19" t="str">
        <f t="shared" si="1"/>
        <v>1. Sin Riesgo (Verde)</v>
      </c>
      <c r="X31" s="19">
        <f>COUNT(T_MEDIDAS[[#This Row],[Edificios públicos]:[Coordinación]])</f>
        <v>1</v>
      </c>
      <c r="Y31" s="19"/>
      <c r="Z31" s="19" t="str">
        <f>IF(T_MEDIDAS[[#This Row],[Edificios públicos]]=1,"Si","No")</f>
        <v>No</v>
      </c>
      <c r="AA31" s="19"/>
      <c r="AB31" s="19" t="str">
        <f>IF(T_MEDIDAS[[#This Row],[Planificación urbana]]=1,"Si","No")</f>
        <v>No</v>
      </c>
      <c r="AC31" s="19"/>
      <c r="AD31" s="19" t="str">
        <f>IF(T_MEDIDAS[[#This Row],[Cultura y deportes]],"Si","No")</f>
        <v>No</v>
      </c>
      <c r="AE31" s="19"/>
      <c r="AF31" s="19" t="str">
        <f>IF(T_MEDIDAS[[#This Row],[Turismo]],"Si","No")</f>
        <v>No</v>
      </c>
      <c r="AG31" s="19"/>
      <c r="AH31" s="19" t="str">
        <f>IF(T_MEDIDAS[[#This Row],[Riesgos laborales]],"Si","No")</f>
        <v>No</v>
      </c>
      <c r="AI31" s="19"/>
      <c r="AJ31" s="19" t="str">
        <f>IF(T_MEDIDAS[[#This Row],[Educación]],"Si","No")</f>
        <v>No</v>
      </c>
      <c r="AK31" s="19"/>
      <c r="AL31" s="19" t="str">
        <f>IF(T_MEDIDAS[[#This Row],[Servicios sociales]],"Si","No")</f>
        <v>No</v>
      </c>
      <c r="AM31" s="19"/>
      <c r="AN31" s="19" t="str">
        <f>IF(T_MEDIDAS[[#This Row],[Servicios de emergencia y policía]],"Si","No")</f>
        <v>No</v>
      </c>
      <c r="AO31" s="124">
        <v>1</v>
      </c>
      <c r="AP31" s="124" t="str">
        <f>IF(T_MEDIDAS[[#This Row],[Parques y jardines]],"Si","No")</f>
        <v>Si</v>
      </c>
      <c r="AQ31" s="19"/>
      <c r="AR31" s="19" t="str">
        <f>IF(T_MEDIDAS[[#This Row],[Transporte]],"Si","No")</f>
        <v>No</v>
      </c>
      <c r="AS31" s="125"/>
      <c r="AT31" s="1" t="str">
        <f>IF(T_MEDIDAS[[#This Row],[Coordinación]],"Si","No")</f>
        <v>No</v>
      </c>
      <c r="AU31" s="2">
        <v>1</v>
      </c>
      <c r="AV31" s="1">
        <v>1</v>
      </c>
      <c r="AW31" s="1">
        <v>1</v>
      </c>
      <c r="AX31" s="1">
        <v>1</v>
      </c>
      <c r="AY31" s="3">
        <v>1</v>
      </c>
      <c r="AZ31" s="43">
        <f>SUMPRODUCT($AT$15:$AX$15,T_MEDIDAS[[#This Row],[&lt;5.000]:[&gt;100.000]])</f>
        <v>1</v>
      </c>
      <c r="BA31" s="1">
        <v>1</v>
      </c>
      <c r="BB31" s="1">
        <v>1</v>
      </c>
      <c r="BC31" s="1">
        <v>1</v>
      </c>
      <c r="BD31" s="1">
        <v>1</v>
      </c>
      <c r="BE31" s="1">
        <v>1</v>
      </c>
      <c r="BF31" s="1">
        <v>1</v>
      </c>
      <c r="BG31" s="1">
        <v>1</v>
      </c>
      <c r="BH31" s="43" cm="1">
        <f t="array" ref="BH31">SUMPRODUCT(--((T_MEDIDAS[[#This Row],[Centros de salud o asistencia social]:[Escuelas / Centros de educación]] + $AZ$15:$BF$15)&gt;0))</f>
        <v>7</v>
      </c>
      <c r="BI31" s="1">
        <v>1</v>
      </c>
      <c r="BJ31" s="1">
        <v>0</v>
      </c>
      <c r="BK31" s="1">
        <v>0</v>
      </c>
      <c r="BL31" s="1">
        <v>1</v>
      </c>
      <c r="BM31" s="1">
        <v>3</v>
      </c>
      <c r="BN31" s="1">
        <v>1</v>
      </c>
      <c r="BO31" s="1">
        <v>1</v>
      </c>
      <c r="BP31" s="1">
        <v>1</v>
      </c>
      <c r="BQ31" s="47" cm="1">
        <f t="array" ref="BQ31">T_MEDIDAS[[#This Row],[Aplicación tamaño]]*(SUMPRODUCT(T_MEDIDAS[[#This Row],[C1_Refrigeración]:[C8_Tiempo]],TRANSPOSE('2.PONDERACIÓN'!$L$13:$L$20))+(ROW(C31)-ROW($C$18)+1)*0.0000000001)*100</f>
        <v>100.00000013999998</v>
      </c>
      <c r="BR31" s="84"/>
      <c r="BS31" s="90"/>
    </row>
    <row r="32" spans="1:71" ht="34.5" hidden="1">
      <c r="A32" s="84"/>
      <c r="B32" s="90"/>
      <c r="C32" s="84"/>
      <c r="D32" s="43">
        <f>IF(T_MEDIDAS[[#This Row],[Peso Criterios]]&lt;=0,"",_xlfn.RANK.EQ(T_MEDIDAS[[#This Row],[Peso Criterios]],T_MEDIDAS[Peso Criterios]))</f>
        <v>126</v>
      </c>
      <c r="E32" s="116" t="s">
        <v>183</v>
      </c>
      <c r="F32" s="117" t="s">
        <v>71</v>
      </c>
      <c r="G32" s="117" t="s">
        <v>56</v>
      </c>
      <c r="H32" s="117" t="s">
        <v>171</v>
      </c>
      <c r="I32" s="126" t="s">
        <v>184</v>
      </c>
      <c r="J32" s="126"/>
      <c r="K32" s="120">
        <v>1</v>
      </c>
      <c r="L32" s="19"/>
      <c r="M32" s="19"/>
      <c r="N32" s="121" t="str">
        <f t="shared" si="0"/>
        <v>€</v>
      </c>
      <c r="O32" s="122">
        <v>1</v>
      </c>
      <c r="P32" s="122"/>
      <c r="Q32" s="20"/>
      <c r="R32" s="122"/>
      <c r="S32" s="34" t="str">
        <f>IF(T_MEDIDAS[[#This Row],[No risk (0)]]=1,"■","")</f>
        <v>■</v>
      </c>
      <c r="T32" s="35" t="str">
        <f>IF(T_MEDIDAS[[#This Row],[Low risk (1)]]=1,"■","")</f>
        <v/>
      </c>
      <c r="U32" s="36" t="str">
        <f>IF(T_MEDIDAS[[#This Row],[Medidaium risk (2)]]=1,"■","")</f>
        <v/>
      </c>
      <c r="V32" s="81" t="str">
        <f>IF(T_MEDIDAS[[#This Row],[High risk (3)]]=1,"■","")</f>
        <v/>
      </c>
      <c r="W32" s="19" t="str">
        <f t="shared" si="1"/>
        <v>1. Sin Riesgo (Verde)</v>
      </c>
      <c r="X32" s="19">
        <f>COUNT(T_MEDIDAS[[#This Row],[Edificios públicos]:[Coordinación]])</f>
        <v>2</v>
      </c>
      <c r="Y32" s="124">
        <v>1</v>
      </c>
      <c r="Z32" s="124" t="str">
        <f>IF(T_MEDIDAS[[#This Row],[Edificios públicos]]=1,"Si","No")</f>
        <v>Si</v>
      </c>
      <c r="AA32" s="19"/>
      <c r="AB32" s="19" t="str">
        <f>IF(T_MEDIDAS[[#This Row],[Planificación urbana]]=1,"Si","No")</f>
        <v>No</v>
      </c>
      <c r="AC32" s="19"/>
      <c r="AD32" s="19" t="str">
        <f>IF(T_MEDIDAS[[#This Row],[Cultura y deportes]],"Si","No")</f>
        <v>No</v>
      </c>
      <c r="AE32" s="124">
        <v>1</v>
      </c>
      <c r="AF32" s="124" t="str">
        <f>IF(T_MEDIDAS[[#This Row],[Turismo]],"Si","No")</f>
        <v>Si</v>
      </c>
      <c r="AG32" s="19"/>
      <c r="AH32" s="19" t="str">
        <f>IF(T_MEDIDAS[[#This Row],[Riesgos laborales]],"Si","No")</f>
        <v>No</v>
      </c>
      <c r="AI32" s="19"/>
      <c r="AJ32" s="19" t="str">
        <f>IF(T_MEDIDAS[[#This Row],[Educación]],"Si","No")</f>
        <v>No</v>
      </c>
      <c r="AK32" s="19"/>
      <c r="AL32" s="19" t="str">
        <f>IF(T_MEDIDAS[[#This Row],[Servicios sociales]],"Si","No")</f>
        <v>No</v>
      </c>
      <c r="AM32" s="19"/>
      <c r="AN32" s="19" t="str">
        <f>IF(T_MEDIDAS[[#This Row],[Servicios de emergencia y policía]],"Si","No")</f>
        <v>No</v>
      </c>
      <c r="AO32" s="19"/>
      <c r="AP32" s="19" t="str">
        <f>IF(T_MEDIDAS[[#This Row],[Parques y jardines]],"Si","No")</f>
        <v>No</v>
      </c>
      <c r="AQ32" s="19"/>
      <c r="AR32" s="19" t="str">
        <f>IF(T_MEDIDAS[[#This Row],[Transporte]],"Si","No")</f>
        <v>No</v>
      </c>
      <c r="AS32" s="125"/>
      <c r="AT32" s="1" t="str">
        <f>IF(T_MEDIDAS[[#This Row],[Coordinación]],"Si","No")</f>
        <v>No</v>
      </c>
      <c r="AU32" s="2">
        <v>1</v>
      </c>
      <c r="AV32" s="1">
        <v>1</v>
      </c>
      <c r="AW32" s="1">
        <v>1</v>
      </c>
      <c r="AX32" s="1">
        <v>1</v>
      </c>
      <c r="AY32" s="3">
        <v>1</v>
      </c>
      <c r="AZ32" s="43">
        <f>SUMPRODUCT($AT$15:$AX$15,T_MEDIDAS[[#This Row],[&lt;5.000]:[&gt;100.000]])</f>
        <v>1</v>
      </c>
      <c r="BA32" s="1">
        <v>1</v>
      </c>
      <c r="BB32" s="1">
        <v>1</v>
      </c>
      <c r="BC32" s="1">
        <v>1</v>
      </c>
      <c r="BD32" s="1">
        <v>1</v>
      </c>
      <c r="BE32" s="1">
        <v>1</v>
      </c>
      <c r="BF32" s="1">
        <v>1</v>
      </c>
      <c r="BG32" s="1">
        <v>1</v>
      </c>
      <c r="BH32" s="43" cm="1">
        <f t="array" ref="BH32">SUMPRODUCT(--((T_MEDIDAS[[#This Row],[Centros de salud o asistencia social]:[Escuelas / Centros de educación]] + $AZ$15:$BF$15)&gt;0))</f>
        <v>7</v>
      </c>
      <c r="BI32" s="44">
        <v>0</v>
      </c>
      <c r="BJ32" s="44">
        <v>0</v>
      </c>
      <c r="BK32" s="44">
        <v>0</v>
      </c>
      <c r="BL32" s="44">
        <v>1</v>
      </c>
      <c r="BM32" s="44">
        <v>3</v>
      </c>
      <c r="BN32" s="44">
        <v>2</v>
      </c>
      <c r="BO32" s="44">
        <v>3</v>
      </c>
      <c r="BP32" s="44">
        <v>3</v>
      </c>
      <c r="BQ32" s="47" cm="1">
        <f t="array" ref="BQ32">T_MEDIDAS[[#This Row],[Aplicación tamaño]]*(SUMPRODUCT(T_MEDIDAS[[#This Row],[C1_Refrigeración]:[C8_Tiempo]],TRANSPOSE('2.PONDERACIÓN'!$L$13:$L$20))+(ROW(C32)-ROW($C$18)+1)*0.0000000001)*100</f>
        <v>150.00000014999998</v>
      </c>
      <c r="BR32" s="84"/>
      <c r="BS32" s="90"/>
    </row>
    <row r="33" spans="1:71" ht="34.5" hidden="1">
      <c r="A33" s="84"/>
      <c r="B33" s="90"/>
      <c r="C33" s="84"/>
      <c r="D33" s="43">
        <f>IF(T_MEDIDAS[[#This Row],[Peso Criterios]]&lt;=0,"",_xlfn.RANK.EQ(T_MEDIDAS[[#This Row],[Peso Criterios]],T_MEDIDAS[Peso Criterios]))</f>
        <v>117</v>
      </c>
      <c r="E33" s="116" t="s">
        <v>185</v>
      </c>
      <c r="F33" s="117" t="s">
        <v>71</v>
      </c>
      <c r="G33" s="117" t="s">
        <v>56</v>
      </c>
      <c r="H33" s="117" t="s">
        <v>171</v>
      </c>
      <c r="I33" s="117" t="s">
        <v>186</v>
      </c>
      <c r="J33" s="117"/>
      <c r="K33" s="120">
        <v>1</v>
      </c>
      <c r="L33" s="19"/>
      <c r="M33" s="19"/>
      <c r="N33" s="121" t="str">
        <f t="shared" si="0"/>
        <v>€</v>
      </c>
      <c r="O33" s="122">
        <v>1</v>
      </c>
      <c r="P33" s="122"/>
      <c r="Q33" s="20"/>
      <c r="R33" s="122"/>
      <c r="S33" s="34" t="str">
        <f>IF(T_MEDIDAS[[#This Row],[No risk (0)]]=1,"■","")</f>
        <v>■</v>
      </c>
      <c r="T33" s="35" t="str">
        <f>IF(T_MEDIDAS[[#This Row],[Low risk (1)]]=1,"■","")</f>
        <v/>
      </c>
      <c r="U33" s="36" t="str">
        <f>IF(T_MEDIDAS[[#This Row],[Medidaium risk (2)]]=1,"■","")</f>
        <v/>
      </c>
      <c r="V33" s="81" t="str">
        <f>IF(T_MEDIDAS[[#This Row],[High risk (3)]]=1,"■","")</f>
        <v/>
      </c>
      <c r="W33" s="19" t="str">
        <f t="shared" si="1"/>
        <v>1. Sin Riesgo (Verde)</v>
      </c>
      <c r="X33" s="19">
        <f>COUNT(T_MEDIDAS[[#This Row],[Edificios públicos]:[Coordinación]])</f>
        <v>2</v>
      </c>
      <c r="Y33" s="19"/>
      <c r="Z33" s="19" t="str">
        <f>IF(T_MEDIDAS[[#This Row],[Edificios públicos]]=1,"Si","No")</f>
        <v>No</v>
      </c>
      <c r="AA33" s="19">
        <v>1</v>
      </c>
      <c r="AB33" s="19" t="str">
        <f>IF(T_MEDIDAS[[#This Row],[Planificación urbana]]=1,"Si","No")</f>
        <v>Si</v>
      </c>
      <c r="AC33" s="19"/>
      <c r="AD33" s="19" t="str">
        <f>IF(T_MEDIDAS[[#This Row],[Cultura y deportes]],"Si","No")</f>
        <v>No</v>
      </c>
      <c r="AE33" s="19"/>
      <c r="AF33" s="19" t="str">
        <f>IF(T_MEDIDAS[[#This Row],[Turismo]],"Si","No")</f>
        <v>No</v>
      </c>
      <c r="AG33" s="19"/>
      <c r="AH33" s="19" t="str">
        <f>IF(T_MEDIDAS[[#This Row],[Riesgos laborales]],"Si","No")</f>
        <v>No</v>
      </c>
      <c r="AI33" s="19"/>
      <c r="AJ33" s="19" t="str">
        <f>IF(T_MEDIDAS[[#This Row],[Educación]],"Si","No")</f>
        <v>No</v>
      </c>
      <c r="AK33" s="19"/>
      <c r="AL33" s="19" t="str">
        <f>IF(T_MEDIDAS[[#This Row],[Servicios sociales]],"Si","No")</f>
        <v>No</v>
      </c>
      <c r="AM33" s="19"/>
      <c r="AN33" s="19" t="str">
        <f>IF(T_MEDIDAS[[#This Row],[Servicios de emergencia y policía]],"Si","No")</f>
        <v>No</v>
      </c>
      <c r="AO33" s="19">
        <v>1</v>
      </c>
      <c r="AP33" s="19" t="str">
        <f>IF(T_MEDIDAS[[#This Row],[Parques y jardines]],"Si","No")</f>
        <v>Si</v>
      </c>
      <c r="AQ33" s="19"/>
      <c r="AR33" s="19" t="str">
        <f>IF(T_MEDIDAS[[#This Row],[Transporte]],"Si","No")</f>
        <v>No</v>
      </c>
      <c r="AS33" s="125"/>
      <c r="AT33" s="1" t="str">
        <f>IF(T_MEDIDAS[[#This Row],[Coordinación]],"Si","No")</f>
        <v>No</v>
      </c>
      <c r="AU33" s="2">
        <v>1</v>
      </c>
      <c r="AV33" s="1">
        <v>1</v>
      </c>
      <c r="AW33" s="1">
        <v>1</v>
      </c>
      <c r="AX33" s="1">
        <v>1</v>
      </c>
      <c r="AY33" s="3">
        <v>1</v>
      </c>
      <c r="AZ33" s="43">
        <f>SUMPRODUCT($AT$15:$AX$15,T_MEDIDAS[[#This Row],[&lt;5.000]:[&gt;100.000]])</f>
        <v>1</v>
      </c>
      <c r="BA33" s="1">
        <v>1</v>
      </c>
      <c r="BB33" s="1">
        <v>1</v>
      </c>
      <c r="BC33" s="1">
        <v>1</v>
      </c>
      <c r="BD33" s="1">
        <v>1</v>
      </c>
      <c r="BE33" s="1">
        <v>1</v>
      </c>
      <c r="BF33" s="1">
        <v>1</v>
      </c>
      <c r="BG33" s="1">
        <v>1</v>
      </c>
      <c r="BH33" s="43" cm="1">
        <f t="array" ref="BH33">SUMPRODUCT(--((T_MEDIDAS[[#This Row],[Centros de salud o asistencia social]:[Escuelas / Centros de educación]] + $AZ$15:$BF$15)&gt;0))</f>
        <v>7</v>
      </c>
      <c r="BI33" s="1">
        <v>0</v>
      </c>
      <c r="BJ33" s="1">
        <v>0</v>
      </c>
      <c r="BK33" s="1">
        <v>2</v>
      </c>
      <c r="BL33" s="1">
        <v>3</v>
      </c>
      <c r="BM33" s="1">
        <v>2</v>
      </c>
      <c r="BN33" s="1">
        <v>1</v>
      </c>
      <c r="BO33" s="1">
        <v>2</v>
      </c>
      <c r="BP33" s="1">
        <v>3</v>
      </c>
      <c r="BQ33" s="47" cm="1">
        <f t="array" ref="BQ33">T_MEDIDAS[[#This Row],[Aplicación tamaño]]*(SUMPRODUCT(T_MEDIDAS[[#This Row],[C1_Refrigeración]:[C8_Tiempo]],TRANSPOSE('2.PONDERACIÓN'!$L$13:$L$20))+(ROW(C33)-ROW($C$18)+1)*0.0000000001)*100</f>
        <v>162.50000015999998</v>
      </c>
      <c r="BR33" s="84"/>
      <c r="BS33" s="90"/>
    </row>
    <row r="34" spans="1:71" ht="34.5" hidden="1">
      <c r="A34" s="84"/>
      <c r="B34" s="90"/>
      <c r="C34" s="84"/>
      <c r="D34" s="43">
        <f>IF(T_MEDIDAS[[#This Row],[Peso Criterios]]&lt;=0,"",_xlfn.RANK.EQ(T_MEDIDAS[[#This Row],[Peso Criterios]],T_MEDIDAS[Peso Criterios]))</f>
        <v>102</v>
      </c>
      <c r="E34" s="116" t="s">
        <v>187</v>
      </c>
      <c r="F34" s="117" t="s">
        <v>71</v>
      </c>
      <c r="G34" s="117" t="s">
        <v>47</v>
      </c>
      <c r="H34" s="117" t="s">
        <v>154</v>
      </c>
      <c r="I34" s="117" t="s">
        <v>188</v>
      </c>
      <c r="J34" s="117"/>
      <c r="K34" s="120"/>
      <c r="L34" s="19">
        <v>1</v>
      </c>
      <c r="M34" s="19">
        <v>1</v>
      </c>
      <c r="N34" s="121" t="str">
        <f t="shared" si="0"/>
        <v>€€€</v>
      </c>
      <c r="O34" s="122">
        <v>1</v>
      </c>
      <c r="P34" s="122"/>
      <c r="Q34" s="20"/>
      <c r="R34" s="122"/>
      <c r="S34" s="34" t="str">
        <f>IF(T_MEDIDAS[[#This Row],[No risk (0)]]=1,"■","")</f>
        <v>■</v>
      </c>
      <c r="T34" s="35" t="str">
        <f>IF(T_MEDIDAS[[#This Row],[Low risk (1)]]=1,"■","")</f>
        <v/>
      </c>
      <c r="U34" s="36" t="str">
        <f>IF(T_MEDIDAS[[#This Row],[Medidaium risk (2)]]=1,"■","")</f>
        <v/>
      </c>
      <c r="V34" s="81" t="str">
        <f>IF(T_MEDIDAS[[#This Row],[High risk (3)]]=1,"■","")</f>
        <v/>
      </c>
      <c r="W34" s="19" t="str">
        <f t="shared" si="1"/>
        <v>1. Sin Riesgo (Verde)</v>
      </c>
      <c r="X34" s="19">
        <f>COUNT(T_MEDIDAS[[#This Row],[Edificios públicos]:[Coordinación]])</f>
        <v>1</v>
      </c>
      <c r="Y34" s="19"/>
      <c r="Z34" s="19" t="str">
        <f>IF(T_MEDIDAS[[#This Row],[Edificios públicos]]=1,"Si","No")</f>
        <v>No</v>
      </c>
      <c r="AA34" s="19"/>
      <c r="AB34" s="19" t="str">
        <f>IF(T_MEDIDAS[[#This Row],[Planificación urbana]]=1,"Si","No")</f>
        <v>No</v>
      </c>
      <c r="AC34" s="19"/>
      <c r="AD34" s="19" t="str">
        <f>IF(T_MEDIDAS[[#This Row],[Cultura y deportes]],"Si","No")</f>
        <v>No</v>
      </c>
      <c r="AE34" s="19"/>
      <c r="AF34" s="19" t="str">
        <f>IF(T_MEDIDAS[[#This Row],[Turismo]],"Si","No")</f>
        <v>No</v>
      </c>
      <c r="AG34" s="19"/>
      <c r="AH34" s="19" t="str">
        <f>IF(T_MEDIDAS[[#This Row],[Riesgos laborales]],"Si","No")</f>
        <v>No</v>
      </c>
      <c r="AI34" s="19"/>
      <c r="AJ34" s="19" t="str">
        <f>IF(T_MEDIDAS[[#This Row],[Educación]],"Si","No")</f>
        <v>No</v>
      </c>
      <c r="AK34" s="19"/>
      <c r="AL34" s="19" t="str">
        <f>IF(T_MEDIDAS[[#This Row],[Servicios sociales]],"Si","No")</f>
        <v>No</v>
      </c>
      <c r="AM34" s="19"/>
      <c r="AN34" s="19" t="str">
        <f>IF(T_MEDIDAS[[#This Row],[Servicios de emergencia y policía]],"Si","No")</f>
        <v>No</v>
      </c>
      <c r="AO34" s="19">
        <v>1</v>
      </c>
      <c r="AP34" s="19" t="str">
        <f>IF(T_MEDIDAS[[#This Row],[Parques y jardines]],"Si","No")</f>
        <v>Si</v>
      </c>
      <c r="AQ34" s="19"/>
      <c r="AR34" s="19" t="str">
        <f>IF(T_MEDIDAS[[#This Row],[Transporte]],"Si","No")</f>
        <v>No</v>
      </c>
      <c r="AS34" s="125"/>
      <c r="AT34" s="1" t="str">
        <f>IF(T_MEDIDAS[[#This Row],[Coordinación]],"Si","No")</f>
        <v>No</v>
      </c>
      <c r="AU34" s="2">
        <v>1</v>
      </c>
      <c r="AV34" s="1">
        <v>1</v>
      </c>
      <c r="AW34" s="1">
        <v>1</v>
      </c>
      <c r="AX34" s="1">
        <v>1</v>
      </c>
      <c r="AY34" s="3">
        <v>1</v>
      </c>
      <c r="AZ34" s="43">
        <f>SUMPRODUCT($AT$15:$AX$15,T_MEDIDAS[[#This Row],[&lt;5.000]:[&gt;100.000]])</f>
        <v>1</v>
      </c>
      <c r="BA34" s="1">
        <v>1</v>
      </c>
      <c r="BB34" s="1">
        <v>1</v>
      </c>
      <c r="BC34" s="1">
        <v>1</v>
      </c>
      <c r="BD34" s="1">
        <v>1</v>
      </c>
      <c r="BE34" s="1">
        <v>1</v>
      </c>
      <c r="BF34" s="1">
        <v>1</v>
      </c>
      <c r="BG34" s="1">
        <v>1</v>
      </c>
      <c r="BH34" s="43" cm="1">
        <f t="array" ref="BH34">SUMPRODUCT(--((T_MEDIDAS[[#This Row],[Centros de salud o asistencia social]:[Escuelas / Centros de educación]] + $AZ$15:$BF$15)&gt;0))</f>
        <v>7</v>
      </c>
      <c r="BI34" s="44">
        <v>3</v>
      </c>
      <c r="BJ34" s="44">
        <v>3</v>
      </c>
      <c r="BK34" s="44">
        <v>1</v>
      </c>
      <c r="BL34" s="44">
        <v>2</v>
      </c>
      <c r="BM34" s="44">
        <v>1</v>
      </c>
      <c r="BN34" s="44">
        <v>1</v>
      </c>
      <c r="BO34" s="44">
        <v>2</v>
      </c>
      <c r="BP34" s="44">
        <v>1</v>
      </c>
      <c r="BQ34" s="47" cm="1">
        <f t="array" ref="BQ34">T_MEDIDAS[[#This Row],[Aplicación tamaño]]*(SUMPRODUCT(T_MEDIDAS[[#This Row],[C1_Refrigeración]:[C8_Tiempo]],TRANSPOSE('2.PONDERACIÓN'!$L$13:$L$20))+(ROW(C34)-ROW($C$18)+1)*0.0000000001)*100</f>
        <v>175.00000016999999</v>
      </c>
      <c r="BR34" s="84"/>
      <c r="BS34" s="90"/>
    </row>
    <row r="35" spans="1:71" ht="34.5" hidden="1">
      <c r="A35" s="84"/>
      <c r="B35" s="90"/>
      <c r="C35" s="84"/>
      <c r="D35" s="43">
        <f>IF(T_MEDIDAS[[#This Row],[Peso Criterios]]&lt;=0,"",_xlfn.RANK.EQ(T_MEDIDAS[[#This Row],[Peso Criterios]],T_MEDIDAS[Peso Criterios]))</f>
        <v>80</v>
      </c>
      <c r="E35" s="116" t="s">
        <v>189</v>
      </c>
      <c r="F35" s="117" t="s">
        <v>71</v>
      </c>
      <c r="G35" s="117" t="s">
        <v>47</v>
      </c>
      <c r="H35" s="117" t="s">
        <v>154</v>
      </c>
      <c r="I35" s="117" t="s">
        <v>190</v>
      </c>
      <c r="J35" s="117"/>
      <c r="K35" s="120"/>
      <c r="L35" s="19">
        <v>1</v>
      </c>
      <c r="M35" s="19">
        <v>1</v>
      </c>
      <c r="N35" s="121" t="str">
        <f t="shared" si="0"/>
        <v>€€€</v>
      </c>
      <c r="O35" s="122">
        <v>1</v>
      </c>
      <c r="P35" s="122"/>
      <c r="Q35" s="20"/>
      <c r="R35" s="122"/>
      <c r="S35" s="34" t="str">
        <f>IF(T_MEDIDAS[[#This Row],[No risk (0)]]=1,"■","")</f>
        <v>■</v>
      </c>
      <c r="T35" s="35" t="str">
        <f>IF(T_MEDIDAS[[#This Row],[Low risk (1)]]=1,"■","")</f>
        <v/>
      </c>
      <c r="U35" s="36" t="str">
        <f>IF(T_MEDIDAS[[#This Row],[Medidaium risk (2)]]=1,"■","")</f>
        <v/>
      </c>
      <c r="V35" s="81" t="str">
        <f>IF(T_MEDIDAS[[#This Row],[High risk (3)]]=1,"■","")</f>
        <v/>
      </c>
      <c r="W35" s="19" t="str">
        <f t="shared" si="1"/>
        <v>1. Sin Riesgo (Verde)</v>
      </c>
      <c r="X35" s="19">
        <f>COUNT(T_MEDIDAS[[#This Row],[Edificios públicos]:[Coordinación]])</f>
        <v>2</v>
      </c>
      <c r="Y35" s="19"/>
      <c r="Z35" s="19" t="str">
        <f>IF(T_MEDIDAS[[#This Row],[Edificios públicos]]=1,"Si","No")</f>
        <v>No</v>
      </c>
      <c r="AA35" s="19"/>
      <c r="AB35" s="19" t="str">
        <f>IF(T_MEDIDAS[[#This Row],[Planificación urbana]]=1,"Si","No")</f>
        <v>No</v>
      </c>
      <c r="AC35" s="19"/>
      <c r="AD35" s="19" t="str">
        <f>IF(T_MEDIDAS[[#This Row],[Cultura y deportes]],"Si","No")</f>
        <v>No</v>
      </c>
      <c r="AE35" s="19"/>
      <c r="AF35" s="19" t="str">
        <f>IF(T_MEDIDAS[[#This Row],[Turismo]],"Si","No")</f>
        <v>No</v>
      </c>
      <c r="AG35" s="19"/>
      <c r="AH35" s="19" t="str">
        <f>IF(T_MEDIDAS[[#This Row],[Riesgos laborales]],"Si","No")</f>
        <v>No</v>
      </c>
      <c r="AI35" s="19">
        <v>1</v>
      </c>
      <c r="AJ35" s="19" t="str">
        <f>IF(T_MEDIDAS[[#This Row],[Educación]],"Si","No")</f>
        <v>Si</v>
      </c>
      <c r="AK35" s="19"/>
      <c r="AL35" s="19" t="str">
        <f>IF(T_MEDIDAS[[#This Row],[Servicios sociales]],"Si","No")</f>
        <v>No</v>
      </c>
      <c r="AM35" s="19"/>
      <c r="AN35" s="19" t="str">
        <f>IF(T_MEDIDAS[[#This Row],[Servicios de emergencia y policía]],"Si","No")</f>
        <v>No</v>
      </c>
      <c r="AO35" s="19">
        <v>1</v>
      </c>
      <c r="AP35" s="19" t="str">
        <f>IF(T_MEDIDAS[[#This Row],[Parques y jardines]],"Si","No")</f>
        <v>Si</v>
      </c>
      <c r="AQ35" s="19"/>
      <c r="AR35" s="19" t="str">
        <f>IF(T_MEDIDAS[[#This Row],[Transporte]],"Si","No")</f>
        <v>No</v>
      </c>
      <c r="AS35" s="125"/>
      <c r="AT35" s="1" t="str">
        <f>IF(T_MEDIDAS[[#This Row],[Coordinación]],"Si","No")</f>
        <v>No</v>
      </c>
      <c r="AU35" s="2">
        <v>1</v>
      </c>
      <c r="AV35" s="1">
        <v>1</v>
      </c>
      <c r="AW35" s="1">
        <v>1</v>
      </c>
      <c r="AX35" s="1">
        <v>1</v>
      </c>
      <c r="AY35" s="3">
        <v>1</v>
      </c>
      <c r="AZ35" s="43">
        <f>SUMPRODUCT($AT$15:$AX$15,T_MEDIDAS[[#This Row],[&lt;5.000]:[&gt;100.000]])</f>
        <v>1</v>
      </c>
      <c r="BA35" s="1">
        <v>1</v>
      </c>
      <c r="BB35" s="1">
        <v>1</v>
      </c>
      <c r="BC35" s="1">
        <v>1</v>
      </c>
      <c r="BD35" s="1">
        <v>1</v>
      </c>
      <c r="BE35" s="1">
        <v>1</v>
      </c>
      <c r="BF35" s="1">
        <v>1</v>
      </c>
      <c r="BG35" s="1"/>
      <c r="BH35" s="43" cm="1">
        <f t="array" ref="BH35">SUMPRODUCT(--((T_MEDIDAS[[#This Row],[Centros de salud o asistencia social]:[Escuelas / Centros de educación]] + $AZ$15:$BF$15)&gt;0))</f>
        <v>6</v>
      </c>
      <c r="BI35" s="1">
        <v>3</v>
      </c>
      <c r="BJ35" s="1">
        <v>3</v>
      </c>
      <c r="BK35" s="1">
        <v>3</v>
      </c>
      <c r="BL35" s="1">
        <v>2</v>
      </c>
      <c r="BM35" s="1">
        <v>1</v>
      </c>
      <c r="BN35" s="1">
        <v>1</v>
      </c>
      <c r="BO35" s="1">
        <v>1</v>
      </c>
      <c r="BP35" s="1">
        <v>1</v>
      </c>
      <c r="BQ35" s="47" cm="1">
        <f t="array" ref="BQ35">T_MEDIDAS[[#This Row],[Aplicación tamaño]]*(SUMPRODUCT(T_MEDIDAS[[#This Row],[C1_Refrigeración]:[C8_Tiempo]],TRANSPOSE('2.PONDERACIÓN'!$L$13:$L$20))+(ROW(C35)-ROW($C$18)+1)*0.0000000001)*100</f>
        <v>187.50000018</v>
      </c>
      <c r="BR35" s="84"/>
      <c r="BS35" s="90"/>
    </row>
    <row r="36" spans="1:71" ht="34.5" hidden="1">
      <c r="A36" s="84"/>
      <c r="B36" s="90"/>
      <c r="C36" s="84"/>
      <c r="D36" s="43">
        <f>IF(T_MEDIDAS[[#This Row],[Peso Criterios]]&lt;=0,"",_xlfn.RANK.EQ(T_MEDIDAS[[#This Row],[Peso Criterios]],T_MEDIDAS[Peso Criterios]))</f>
        <v>101</v>
      </c>
      <c r="E36" s="116" t="s">
        <v>191</v>
      </c>
      <c r="F36" s="117" t="s">
        <v>71</v>
      </c>
      <c r="G36" s="117" t="s">
        <v>47</v>
      </c>
      <c r="H36" s="117" t="s">
        <v>154</v>
      </c>
      <c r="I36" s="117" t="s">
        <v>192</v>
      </c>
      <c r="J36" s="117"/>
      <c r="K36" s="120"/>
      <c r="L36" s="19">
        <v>1</v>
      </c>
      <c r="M36" s="19">
        <v>1</v>
      </c>
      <c r="N36" s="121" t="str">
        <f t="shared" si="0"/>
        <v>€€€</v>
      </c>
      <c r="O36" s="122">
        <v>1</v>
      </c>
      <c r="P36" s="122"/>
      <c r="Q36" s="20"/>
      <c r="R36" s="122"/>
      <c r="S36" s="34" t="str">
        <f>IF(T_MEDIDAS[[#This Row],[No risk (0)]]=1,"■","")</f>
        <v>■</v>
      </c>
      <c r="T36" s="35" t="str">
        <f>IF(T_MEDIDAS[[#This Row],[Low risk (1)]]=1,"■","")</f>
        <v/>
      </c>
      <c r="U36" s="36" t="str">
        <f>IF(T_MEDIDAS[[#This Row],[Medidaium risk (2)]]=1,"■","")</f>
        <v/>
      </c>
      <c r="V36" s="81" t="str">
        <f>IF(T_MEDIDAS[[#This Row],[High risk (3)]]=1,"■","")</f>
        <v/>
      </c>
      <c r="W36" s="19" t="str">
        <f t="shared" si="1"/>
        <v>1. Sin Riesgo (Verde)</v>
      </c>
      <c r="X36" s="19">
        <f>COUNT(T_MEDIDAS[[#This Row],[Edificios públicos]:[Coordinación]])</f>
        <v>2</v>
      </c>
      <c r="Y36" s="19"/>
      <c r="Z36" s="19" t="str">
        <f>IF(T_MEDIDAS[[#This Row],[Edificios públicos]]=1,"Si","No")</f>
        <v>No</v>
      </c>
      <c r="AA36" s="19">
        <v>1</v>
      </c>
      <c r="AB36" s="19" t="str">
        <f>IF(T_MEDIDAS[[#This Row],[Planificación urbana]]=1,"Si","No")</f>
        <v>Si</v>
      </c>
      <c r="AC36" s="19"/>
      <c r="AD36" s="19" t="str">
        <f>IF(T_MEDIDAS[[#This Row],[Cultura y deportes]],"Si","No")</f>
        <v>No</v>
      </c>
      <c r="AE36" s="19"/>
      <c r="AF36" s="19" t="str">
        <f>IF(T_MEDIDAS[[#This Row],[Turismo]],"Si","No")</f>
        <v>No</v>
      </c>
      <c r="AG36" s="19"/>
      <c r="AH36" s="19" t="str">
        <f>IF(T_MEDIDAS[[#This Row],[Riesgos laborales]],"Si","No")</f>
        <v>No</v>
      </c>
      <c r="AI36" s="19"/>
      <c r="AJ36" s="19" t="str">
        <f>IF(T_MEDIDAS[[#This Row],[Educación]],"Si","No")</f>
        <v>No</v>
      </c>
      <c r="AK36" s="19"/>
      <c r="AL36" s="19" t="str">
        <f>IF(T_MEDIDAS[[#This Row],[Servicios sociales]],"Si","No")</f>
        <v>No</v>
      </c>
      <c r="AM36" s="19"/>
      <c r="AN36" s="19" t="str">
        <f>IF(T_MEDIDAS[[#This Row],[Servicios de emergencia y policía]],"Si","No")</f>
        <v>No</v>
      </c>
      <c r="AO36" s="19">
        <v>1</v>
      </c>
      <c r="AP36" s="19" t="str">
        <f>IF(T_MEDIDAS[[#This Row],[Parques y jardines]],"Si","No")</f>
        <v>Si</v>
      </c>
      <c r="AQ36" s="19"/>
      <c r="AR36" s="19" t="str">
        <f>IF(T_MEDIDAS[[#This Row],[Transporte]],"Si","No")</f>
        <v>No</v>
      </c>
      <c r="AS36" s="125"/>
      <c r="AT36" s="1" t="str">
        <f>IF(T_MEDIDAS[[#This Row],[Coordinación]],"Si","No")</f>
        <v>No</v>
      </c>
      <c r="AU36" s="2">
        <v>1</v>
      </c>
      <c r="AV36" s="1">
        <v>1</v>
      </c>
      <c r="AW36" s="1">
        <v>1</v>
      </c>
      <c r="AX36" s="1">
        <v>1</v>
      </c>
      <c r="AY36" s="3">
        <v>1</v>
      </c>
      <c r="AZ36" s="43">
        <f>SUMPRODUCT($AT$15:$AX$15,T_MEDIDAS[[#This Row],[&lt;5.000]:[&gt;100.000]])</f>
        <v>1</v>
      </c>
      <c r="BA36" s="1">
        <v>1</v>
      </c>
      <c r="BB36" s="1">
        <v>1</v>
      </c>
      <c r="BC36" s="1">
        <v>1</v>
      </c>
      <c r="BD36" s="1">
        <v>1</v>
      </c>
      <c r="BE36" s="1">
        <v>1</v>
      </c>
      <c r="BF36" s="1">
        <v>1</v>
      </c>
      <c r="BG36" s="1">
        <v>1</v>
      </c>
      <c r="BH36" s="43" cm="1">
        <f t="array" ref="BH36">SUMPRODUCT(--((T_MEDIDAS[[#This Row],[Centros de salud o asistencia social]:[Escuelas / Centros de educación]] + $AZ$15:$BF$15)&gt;0))</f>
        <v>7</v>
      </c>
      <c r="BI36" s="44">
        <v>2</v>
      </c>
      <c r="BJ36" s="44">
        <v>3</v>
      </c>
      <c r="BK36" s="44">
        <v>3</v>
      </c>
      <c r="BL36" s="44">
        <v>2</v>
      </c>
      <c r="BM36" s="44">
        <v>1</v>
      </c>
      <c r="BN36" s="44">
        <v>1</v>
      </c>
      <c r="BO36" s="44">
        <v>1</v>
      </c>
      <c r="BP36" s="44">
        <v>1</v>
      </c>
      <c r="BQ36" s="47" cm="1">
        <f t="array" ref="BQ36">T_MEDIDAS[[#This Row],[Aplicación tamaño]]*(SUMPRODUCT(T_MEDIDAS[[#This Row],[C1_Refrigeración]:[C8_Tiempo]],TRANSPOSE('2.PONDERACIÓN'!$L$13:$L$20))+(ROW(C36)-ROW($C$18)+1)*0.0000000001)*100</f>
        <v>175.00000018999998</v>
      </c>
      <c r="BR36" s="84"/>
      <c r="BS36" s="90"/>
    </row>
    <row r="37" spans="1:71" ht="34.5" hidden="1">
      <c r="A37" s="84"/>
      <c r="B37" s="90"/>
      <c r="C37" s="84"/>
      <c r="D37" s="43">
        <f>IF(T_MEDIDAS[[#This Row],[Peso Criterios]]&lt;=0,"",_xlfn.RANK.EQ(T_MEDIDAS[[#This Row],[Peso Criterios]],T_MEDIDAS[Peso Criterios]))</f>
        <v>79</v>
      </c>
      <c r="E37" s="116" t="s">
        <v>193</v>
      </c>
      <c r="F37" s="117" t="s">
        <v>71</v>
      </c>
      <c r="G37" s="117" t="s">
        <v>47</v>
      </c>
      <c r="H37" s="117" t="s">
        <v>154</v>
      </c>
      <c r="I37" s="126" t="s">
        <v>194</v>
      </c>
      <c r="J37" s="126"/>
      <c r="K37" s="120"/>
      <c r="L37" s="19"/>
      <c r="M37" s="19">
        <v>1</v>
      </c>
      <c r="N37" s="121" t="str">
        <f t="shared" si="0"/>
        <v>€€€</v>
      </c>
      <c r="O37" s="122">
        <v>1</v>
      </c>
      <c r="P37" s="122"/>
      <c r="Q37" s="20"/>
      <c r="R37" s="122"/>
      <c r="S37" s="34" t="str">
        <f>IF(T_MEDIDAS[[#This Row],[No risk (0)]]=1,"■","")</f>
        <v>■</v>
      </c>
      <c r="T37" s="35" t="str">
        <f>IF(T_MEDIDAS[[#This Row],[Low risk (1)]]=1,"■","")</f>
        <v/>
      </c>
      <c r="U37" s="36" t="str">
        <f>IF(T_MEDIDAS[[#This Row],[Medidaium risk (2)]]=1,"■","")</f>
        <v/>
      </c>
      <c r="V37" s="81" t="str">
        <f>IF(T_MEDIDAS[[#This Row],[High risk (3)]]=1,"■","")</f>
        <v/>
      </c>
      <c r="W37" s="19" t="str">
        <f t="shared" si="1"/>
        <v>1. Sin Riesgo (Verde)</v>
      </c>
      <c r="X37" s="19">
        <f>COUNT(T_MEDIDAS[[#This Row],[Edificios públicos]:[Coordinación]])</f>
        <v>2</v>
      </c>
      <c r="Y37" s="19">
        <v>1</v>
      </c>
      <c r="Z37" s="19" t="str">
        <f>IF(T_MEDIDAS[[#This Row],[Edificios públicos]]=1,"Si","No")</f>
        <v>Si</v>
      </c>
      <c r="AA37" s="19"/>
      <c r="AB37" s="19" t="str">
        <f>IF(T_MEDIDAS[[#This Row],[Planificación urbana]]=1,"Si","No")</f>
        <v>No</v>
      </c>
      <c r="AC37" s="19"/>
      <c r="AD37" s="19" t="str">
        <f>IF(T_MEDIDAS[[#This Row],[Cultura y deportes]],"Si","No")</f>
        <v>No</v>
      </c>
      <c r="AE37" s="19"/>
      <c r="AF37" s="19" t="str">
        <f>IF(T_MEDIDAS[[#This Row],[Turismo]],"Si","No")</f>
        <v>No</v>
      </c>
      <c r="AG37" s="19"/>
      <c r="AH37" s="19" t="str">
        <f>IF(T_MEDIDAS[[#This Row],[Riesgos laborales]],"Si","No")</f>
        <v>No</v>
      </c>
      <c r="AI37" s="19"/>
      <c r="AJ37" s="19" t="str">
        <f>IF(T_MEDIDAS[[#This Row],[Educación]],"Si","No")</f>
        <v>No</v>
      </c>
      <c r="AK37" s="19"/>
      <c r="AL37" s="19" t="str">
        <f>IF(T_MEDIDAS[[#This Row],[Servicios sociales]],"Si","No")</f>
        <v>No</v>
      </c>
      <c r="AM37" s="19"/>
      <c r="AN37" s="19" t="str">
        <f>IF(T_MEDIDAS[[#This Row],[Servicios de emergencia y policía]],"Si","No")</f>
        <v>No</v>
      </c>
      <c r="AO37" s="19">
        <v>1</v>
      </c>
      <c r="AP37" s="19" t="str">
        <f>IF(T_MEDIDAS[[#This Row],[Parques y jardines]],"Si","No")</f>
        <v>Si</v>
      </c>
      <c r="AQ37" s="19"/>
      <c r="AR37" s="19" t="str">
        <f>IF(T_MEDIDAS[[#This Row],[Transporte]],"Si","No")</f>
        <v>No</v>
      </c>
      <c r="AS37" s="125"/>
      <c r="AT37" s="1" t="str">
        <f>IF(T_MEDIDAS[[#This Row],[Coordinación]],"Si","No")</f>
        <v>No</v>
      </c>
      <c r="AU37" s="2">
        <v>1</v>
      </c>
      <c r="AV37" s="1">
        <v>1</v>
      </c>
      <c r="AW37" s="1">
        <v>1</v>
      </c>
      <c r="AX37" s="1">
        <v>1</v>
      </c>
      <c r="AY37" s="3">
        <v>1</v>
      </c>
      <c r="AZ37" s="43">
        <f>SUMPRODUCT($AT$15:$AX$15,T_MEDIDAS[[#This Row],[&lt;5.000]:[&gt;100.000]])</f>
        <v>1</v>
      </c>
      <c r="BA37" s="1">
        <v>1</v>
      </c>
      <c r="BB37" s="1">
        <v>1</v>
      </c>
      <c r="BC37" s="1">
        <v>1</v>
      </c>
      <c r="BD37" s="1">
        <v>1</v>
      </c>
      <c r="BE37" s="1">
        <v>1</v>
      </c>
      <c r="BF37" s="1">
        <v>1</v>
      </c>
      <c r="BG37" s="1">
        <v>1</v>
      </c>
      <c r="BH37" s="43" cm="1">
        <f t="array" ref="BH37">SUMPRODUCT(--((T_MEDIDAS[[#This Row],[Centros de salud o asistencia social]:[Escuelas / Centros de educación]] + $AZ$15:$BF$15)&gt;0))</f>
        <v>7</v>
      </c>
      <c r="BI37" s="1">
        <v>3</v>
      </c>
      <c r="BJ37" s="1">
        <v>0</v>
      </c>
      <c r="BK37" s="1">
        <v>1</v>
      </c>
      <c r="BL37" s="1">
        <v>1</v>
      </c>
      <c r="BM37" s="1">
        <v>2</v>
      </c>
      <c r="BN37" s="1">
        <v>2</v>
      </c>
      <c r="BO37" s="1">
        <v>3</v>
      </c>
      <c r="BP37" s="1">
        <v>3</v>
      </c>
      <c r="BQ37" s="47" cm="1">
        <f t="array" ref="BQ37">T_MEDIDAS[[#This Row],[Aplicación tamaño]]*(SUMPRODUCT(T_MEDIDAS[[#This Row],[C1_Refrigeración]:[C8_Tiempo]],TRANSPOSE('2.PONDERACIÓN'!$L$13:$L$20))+(ROW(C37)-ROW($C$18)+1)*0.0000000001)*100</f>
        <v>187.50000019999999</v>
      </c>
      <c r="BR37" s="84"/>
      <c r="BS37" s="90"/>
    </row>
    <row r="38" spans="1:71" ht="34.5" hidden="1">
      <c r="A38" s="84"/>
      <c r="B38" s="90"/>
      <c r="C38" s="84"/>
      <c r="D38" s="43">
        <f>IF(T_MEDIDAS[[#This Row],[Peso Criterios]]&lt;=0,"",_xlfn.RANK.EQ(T_MEDIDAS[[#This Row],[Peso Criterios]],T_MEDIDAS[Peso Criterios]))</f>
        <v>100</v>
      </c>
      <c r="E38" s="116" t="s">
        <v>195</v>
      </c>
      <c r="F38" s="117" t="s">
        <v>71</v>
      </c>
      <c r="G38" s="117" t="s">
        <v>47</v>
      </c>
      <c r="H38" s="117" t="s">
        <v>157</v>
      </c>
      <c r="I38" s="117" t="s">
        <v>196</v>
      </c>
      <c r="J38" s="117"/>
      <c r="K38" s="120"/>
      <c r="L38" s="19">
        <v>1</v>
      </c>
      <c r="M38" s="19">
        <v>1</v>
      </c>
      <c r="N38" s="121" t="str">
        <f t="shared" si="0"/>
        <v>€€€</v>
      </c>
      <c r="O38" s="122">
        <v>1</v>
      </c>
      <c r="P38" s="122"/>
      <c r="Q38" s="20"/>
      <c r="R38" s="122"/>
      <c r="S38" s="34" t="str">
        <f>IF(T_MEDIDAS[[#This Row],[No risk (0)]]=1,"■","")</f>
        <v>■</v>
      </c>
      <c r="T38" s="35" t="str">
        <f>IF(T_MEDIDAS[[#This Row],[Low risk (1)]]=1,"■","")</f>
        <v/>
      </c>
      <c r="U38" s="36" t="str">
        <f>IF(T_MEDIDAS[[#This Row],[Medidaium risk (2)]]=1,"■","")</f>
        <v/>
      </c>
      <c r="V38" s="81" t="str">
        <f>IF(T_MEDIDAS[[#This Row],[High risk (3)]]=1,"■","")</f>
        <v/>
      </c>
      <c r="W38" s="19" t="str">
        <f t="shared" si="1"/>
        <v>1. Sin Riesgo (Verde)</v>
      </c>
      <c r="X38" s="19">
        <f>COUNT(T_MEDIDAS[[#This Row],[Edificios públicos]:[Coordinación]])</f>
        <v>1</v>
      </c>
      <c r="Y38" s="19"/>
      <c r="Z38" s="19" t="str">
        <f>IF(T_MEDIDAS[[#This Row],[Edificios públicos]]=1,"Si","No")</f>
        <v>No</v>
      </c>
      <c r="AA38" s="19">
        <v>1</v>
      </c>
      <c r="AB38" s="19" t="str">
        <f>IF(T_MEDIDAS[[#This Row],[Planificación urbana]]=1,"Si","No")</f>
        <v>Si</v>
      </c>
      <c r="AC38" s="19"/>
      <c r="AD38" s="19" t="str">
        <f>IF(T_MEDIDAS[[#This Row],[Cultura y deportes]],"Si","No")</f>
        <v>No</v>
      </c>
      <c r="AE38" s="19"/>
      <c r="AF38" s="19" t="str">
        <f>IF(T_MEDIDAS[[#This Row],[Turismo]],"Si","No")</f>
        <v>No</v>
      </c>
      <c r="AG38" s="19"/>
      <c r="AH38" s="19" t="str">
        <f>IF(T_MEDIDAS[[#This Row],[Riesgos laborales]],"Si","No")</f>
        <v>No</v>
      </c>
      <c r="AI38" s="19"/>
      <c r="AJ38" s="19" t="str">
        <f>IF(T_MEDIDAS[[#This Row],[Educación]],"Si","No")</f>
        <v>No</v>
      </c>
      <c r="AK38" s="19"/>
      <c r="AL38" s="19" t="str">
        <f>IF(T_MEDIDAS[[#This Row],[Servicios sociales]],"Si","No")</f>
        <v>No</v>
      </c>
      <c r="AM38" s="19"/>
      <c r="AN38" s="19" t="str">
        <f>IF(T_MEDIDAS[[#This Row],[Servicios de emergencia y policía]],"Si","No")</f>
        <v>No</v>
      </c>
      <c r="AO38" s="19"/>
      <c r="AP38" s="19" t="str">
        <f>IF(T_MEDIDAS[[#This Row],[Parques y jardines]],"Si","No")</f>
        <v>No</v>
      </c>
      <c r="AQ38" s="19"/>
      <c r="AR38" s="19" t="str">
        <f>IF(T_MEDIDAS[[#This Row],[Transporte]],"Si","No")</f>
        <v>No</v>
      </c>
      <c r="AS38" s="125"/>
      <c r="AT38" s="1" t="str">
        <f>IF(T_MEDIDAS[[#This Row],[Coordinación]],"Si","No")</f>
        <v>No</v>
      </c>
      <c r="AU38" s="2">
        <v>1</v>
      </c>
      <c r="AV38" s="1">
        <v>1</v>
      </c>
      <c r="AW38" s="1">
        <v>1</v>
      </c>
      <c r="AX38" s="1">
        <v>1</v>
      </c>
      <c r="AY38" s="3">
        <v>1</v>
      </c>
      <c r="AZ38" s="43">
        <f>SUMPRODUCT($AT$15:$AX$15,T_MEDIDAS[[#This Row],[&lt;5.000]:[&gt;100.000]])</f>
        <v>1</v>
      </c>
      <c r="BA38" s="1">
        <v>1</v>
      </c>
      <c r="BB38" s="1">
        <v>1</v>
      </c>
      <c r="BC38" s="1">
        <v>1</v>
      </c>
      <c r="BD38" s="1">
        <v>1</v>
      </c>
      <c r="BE38" s="1">
        <v>1</v>
      </c>
      <c r="BF38" s="1">
        <v>1</v>
      </c>
      <c r="BG38" s="1">
        <v>1</v>
      </c>
      <c r="BH38" s="43" cm="1">
        <f t="array" ref="BH38">SUMPRODUCT(--((T_MEDIDAS[[#This Row],[Centros de salud o asistencia social]:[Escuelas / Centros de educación]] + $AZ$15:$BF$15)&gt;0))</f>
        <v>7</v>
      </c>
      <c r="BI38" s="44">
        <v>2</v>
      </c>
      <c r="BJ38" s="44">
        <v>0</v>
      </c>
      <c r="BK38" s="44">
        <v>1</v>
      </c>
      <c r="BL38" s="44">
        <v>1</v>
      </c>
      <c r="BM38" s="44">
        <v>2</v>
      </c>
      <c r="BN38" s="44">
        <v>2</v>
      </c>
      <c r="BO38" s="44">
        <v>3</v>
      </c>
      <c r="BP38" s="44">
        <v>3</v>
      </c>
      <c r="BQ38" s="47" cm="1">
        <f t="array" ref="BQ38">T_MEDIDAS[[#This Row],[Aplicación tamaño]]*(SUMPRODUCT(T_MEDIDAS[[#This Row],[C1_Refrigeración]:[C8_Tiempo]],TRANSPOSE('2.PONDERACIÓN'!$L$13:$L$20))+(ROW(C38)-ROW($C$18)+1)*0.0000000001)*100</f>
        <v>175.00000021</v>
      </c>
      <c r="BR38" s="84"/>
      <c r="BS38" s="90"/>
    </row>
    <row r="39" spans="1:71" ht="34.5" hidden="1">
      <c r="A39" s="84"/>
      <c r="B39" s="90"/>
      <c r="C39" s="84"/>
      <c r="D39" s="43">
        <f>IF(T_MEDIDAS[[#This Row],[Peso Criterios]]&lt;=0,"",_xlfn.RANK.EQ(T_MEDIDAS[[#This Row],[Peso Criterios]],T_MEDIDAS[Peso Criterios]))</f>
        <v>132</v>
      </c>
      <c r="E39" s="116" t="s">
        <v>197</v>
      </c>
      <c r="F39" s="117" t="s">
        <v>71</v>
      </c>
      <c r="G39" s="117" t="s">
        <v>47</v>
      </c>
      <c r="H39" s="117" t="s">
        <v>157</v>
      </c>
      <c r="I39" s="126" t="s">
        <v>198</v>
      </c>
      <c r="J39" s="126"/>
      <c r="K39" s="120"/>
      <c r="L39" s="19">
        <v>1</v>
      </c>
      <c r="M39" s="19">
        <v>1</v>
      </c>
      <c r="N39" s="121" t="str">
        <f t="shared" si="0"/>
        <v>€€€</v>
      </c>
      <c r="O39" s="122">
        <v>1</v>
      </c>
      <c r="P39" s="122"/>
      <c r="Q39" s="20"/>
      <c r="R39" s="122"/>
      <c r="S39" s="34" t="str">
        <f>IF(T_MEDIDAS[[#This Row],[No risk (0)]]=1,"■","")</f>
        <v>■</v>
      </c>
      <c r="T39" s="35" t="str">
        <f>IF(T_MEDIDAS[[#This Row],[Low risk (1)]]=1,"■","")</f>
        <v/>
      </c>
      <c r="U39" s="36" t="str">
        <f>IF(T_MEDIDAS[[#This Row],[Medidaium risk (2)]]=1,"■","")</f>
        <v/>
      </c>
      <c r="V39" s="81" t="str">
        <f>IF(T_MEDIDAS[[#This Row],[High risk (3)]]=1,"■","")</f>
        <v/>
      </c>
      <c r="W39" s="19" t="str">
        <f t="shared" si="1"/>
        <v>1. Sin Riesgo (Verde)</v>
      </c>
      <c r="X39" s="19">
        <f>COUNT(T_MEDIDAS[[#This Row],[Edificios públicos]:[Coordinación]])</f>
        <v>1</v>
      </c>
      <c r="Y39" s="19"/>
      <c r="Z39" s="19" t="str">
        <f>IF(T_MEDIDAS[[#This Row],[Edificios públicos]]=1,"Si","No")</f>
        <v>No</v>
      </c>
      <c r="AA39" s="19">
        <v>1</v>
      </c>
      <c r="AB39" s="19" t="str">
        <f>IF(T_MEDIDAS[[#This Row],[Planificación urbana]]=1,"Si","No")</f>
        <v>Si</v>
      </c>
      <c r="AC39" s="19"/>
      <c r="AD39" s="19" t="str">
        <f>IF(T_MEDIDAS[[#This Row],[Cultura y deportes]],"Si","No")</f>
        <v>No</v>
      </c>
      <c r="AE39" s="19"/>
      <c r="AF39" s="19" t="str">
        <f>IF(T_MEDIDAS[[#This Row],[Turismo]],"Si","No")</f>
        <v>No</v>
      </c>
      <c r="AG39" s="19"/>
      <c r="AH39" s="19" t="str">
        <f>IF(T_MEDIDAS[[#This Row],[Riesgos laborales]],"Si","No")</f>
        <v>No</v>
      </c>
      <c r="AI39" s="19"/>
      <c r="AJ39" s="19" t="str">
        <f>IF(T_MEDIDAS[[#This Row],[Educación]],"Si","No")</f>
        <v>No</v>
      </c>
      <c r="AK39" s="19"/>
      <c r="AL39" s="19" t="str">
        <f>IF(T_MEDIDAS[[#This Row],[Servicios sociales]],"Si","No")</f>
        <v>No</v>
      </c>
      <c r="AM39" s="19"/>
      <c r="AN39" s="19" t="str">
        <f>IF(T_MEDIDAS[[#This Row],[Servicios de emergencia y policía]],"Si","No")</f>
        <v>No</v>
      </c>
      <c r="AO39" s="19"/>
      <c r="AP39" s="19" t="str">
        <f>IF(T_MEDIDAS[[#This Row],[Parques y jardines]],"Si","No")</f>
        <v>No</v>
      </c>
      <c r="AQ39" s="19"/>
      <c r="AR39" s="19" t="str">
        <f>IF(T_MEDIDAS[[#This Row],[Transporte]],"Si","No")</f>
        <v>No</v>
      </c>
      <c r="AS39" s="125"/>
      <c r="AT39" s="1" t="str">
        <f>IF(T_MEDIDAS[[#This Row],[Coordinación]],"Si","No")</f>
        <v>No</v>
      </c>
      <c r="AU39" s="2">
        <v>1</v>
      </c>
      <c r="AV39" s="1">
        <v>1</v>
      </c>
      <c r="AW39" s="1">
        <v>1</v>
      </c>
      <c r="AX39" s="1">
        <v>1</v>
      </c>
      <c r="AY39" s="3">
        <v>1</v>
      </c>
      <c r="AZ39" s="43">
        <f>SUMPRODUCT($AT$15:$AX$15,T_MEDIDAS[[#This Row],[&lt;5.000]:[&gt;100.000]])</f>
        <v>1</v>
      </c>
      <c r="BA39" s="1">
        <v>1</v>
      </c>
      <c r="BB39" s="1">
        <v>1</v>
      </c>
      <c r="BC39" s="1">
        <v>1</v>
      </c>
      <c r="BD39" s="1">
        <v>1</v>
      </c>
      <c r="BE39" s="1">
        <v>1</v>
      </c>
      <c r="BF39" s="1">
        <v>1</v>
      </c>
      <c r="BG39" s="1">
        <v>1</v>
      </c>
      <c r="BH39" s="43" cm="1">
        <f t="array" ref="BH39">SUMPRODUCT(--((T_MEDIDAS[[#This Row],[Centros de salud o asistencia social]:[Escuelas / Centros de educación]] + $AZ$15:$BF$15)&gt;0))</f>
        <v>7</v>
      </c>
      <c r="BI39" s="1">
        <v>1</v>
      </c>
      <c r="BJ39" s="1">
        <v>0</v>
      </c>
      <c r="BK39" s="1">
        <v>1</v>
      </c>
      <c r="BL39" s="1">
        <v>1</v>
      </c>
      <c r="BM39" s="1">
        <v>2</v>
      </c>
      <c r="BN39" s="1">
        <v>1</v>
      </c>
      <c r="BO39" s="1">
        <v>2</v>
      </c>
      <c r="BP39" s="1">
        <v>3</v>
      </c>
      <c r="BQ39" s="47" cm="1">
        <f t="array" ref="BQ39">T_MEDIDAS[[#This Row],[Aplicación tamaño]]*(SUMPRODUCT(T_MEDIDAS[[#This Row],[C1_Refrigeración]:[C8_Tiempo]],TRANSPOSE('2.PONDERACIÓN'!$L$13:$L$20))+(ROW(C39)-ROW($C$18)+1)*0.0000000001)*100</f>
        <v>137.50000022</v>
      </c>
      <c r="BR39" s="84"/>
      <c r="BS39" s="90"/>
    </row>
    <row r="40" spans="1:71" ht="34.5" hidden="1">
      <c r="A40" s="84"/>
      <c r="B40" s="90"/>
      <c r="C40" s="84"/>
      <c r="D40" s="43">
        <f>IF(T_MEDIDAS[[#This Row],[Peso Criterios]]&lt;=0,"",_xlfn.RANK.EQ(T_MEDIDAS[[#This Row],[Peso Criterios]],T_MEDIDAS[Peso Criterios]))</f>
        <v>125</v>
      </c>
      <c r="E40" s="116" t="s">
        <v>199</v>
      </c>
      <c r="F40" s="117" t="s">
        <v>71</v>
      </c>
      <c r="G40" s="117" t="s">
        <v>56</v>
      </c>
      <c r="H40" s="117" t="s">
        <v>171</v>
      </c>
      <c r="I40" s="117" t="s">
        <v>200</v>
      </c>
      <c r="J40" s="117"/>
      <c r="K40" s="120"/>
      <c r="L40" s="19">
        <v>1</v>
      </c>
      <c r="M40" s="19">
        <v>1</v>
      </c>
      <c r="N40" s="121" t="str">
        <f t="shared" si="0"/>
        <v>€€€</v>
      </c>
      <c r="O40" s="122">
        <v>1</v>
      </c>
      <c r="P40" s="122"/>
      <c r="Q40" s="20"/>
      <c r="R40" s="122"/>
      <c r="S40" s="34" t="str">
        <f>IF(T_MEDIDAS[[#This Row],[No risk (0)]]=1,"■","")</f>
        <v>■</v>
      </c>
      <c r="T40" s="35" t="str">
        <f>IF(T_MEDIDAS[[#This Row],[Low risk (1)]]=1,"■","")</f>
        <v/>
      </c>
      <c r="U40" s="36" t="str">
        <f>IF(T_MEDIDAS[[#This Row],[Medidaium risk (2)]]=1,"■","")</f>
        <v/>
      </c>
      <c r="V40" s="81" t="str">
        <f>IF(T_MEDIDAS[[#This Row],[High risk (3)]]=1,"■","")</f>
        <v/>
      </c>
      <c r="W40" s="19" t="str">
        <f t="shared" si="1"/>
        <v>1. Sin Riesgo (Verde)</v>
      </c>
      <c r="X40" s="19">
        <f>COUNT(T_MEDIDAS[[#This Row],[Edificios públicos]:[Coordinación]])</f>
        <v>2</v>
      </c>
      <c r="Y40" s="19"/>
      <c r="Z40" s="19" t="str">
        <f>IF(T_MEDIDAS[[#This Row],[Edificios públicos]]=1,"Si","No")</f>
        <v>No</v>
      </c>
      <c r="AA40" s="19">
        <v>1</v>
      </c>
      <c r="AB40" s="19" t="str">
        <f>IF(T_MEDIDAS[[#This Row],[Planificación urbana]]=1,"Si","No")</f>
        <v>Si</v>
      </c>
      <c r="AC40" s="19"/>
      <c r="AD40" s="19" t="str">
        <f>IF(T_MEDIDAS[[#This Row],[Cultura y deportes]],"Si","No")</f>
        <v>No</v>
      </c>
      <c r="AE40" s="19"/>
      <c r="AF40" s="19" t="str">
        <f>IF(T_MEDIDAS[[#This Row],[Turismo]],"Si","No")</f>
        <v>No</v>
      </c>
      <c r="AG40" s="19"/>
      <c r="AH40" s="19" t="str">
        <f>IF(T_MEDIDAS[[#This Row],[Riesgos laborales]],"Si","No")</f>
        <v>No</v>
      </c>
      <c r="AI40" s="19"/>
      <c r="AJ40" s="19" t="str">
        <f>IF(T_MEDIDAS[[#This Row],[Educación]],"Si","No")</f>
        <v>No</v>
      </c>
      <c r="AK40" s="19"/>
      <c r="AL40" s="19" t="str">
        <f>IF(T_MEDIDAS[[#This Row],[Servicios sociales]],"Si","No")</f>
        <v>No</v>
      </c>
      <c r="AM40" s="19"/>
      <c r="AN40" s="19" t="str">
        <f>IF(T_MEDIDAS[[#This Row],[Servicios de emergencia y policía]],"Si","No")</f>
        <v>No</v>
      </c>
      <c r="AO40" s="19">
        <v>1</v>
      </c>
      <c r="AP40" s="19" t="str">
        <f>IF(T_MEDIDAS[[#This Row],[Parques y jardines]],"Si","No")</f>
        <v>Si</v>
      </c>
      <c r="AQ40" s="19"/>
      <c r="AR40" s="19" t="str">
        <f>IF(T_MEDIDAS[[#This Row],[Transporte]],"Si","No")</f>
        <v>No</v>
      </c>
      <c r="AS40" s="125"/>
      <c r="AT40" s="1" t="str">
        <f>IF(T_MEDIDAS[[#This Row],[Coordinación]],"Si","No")</f>
        <v>No</v>
      </c>
      <c r="AU40" s="2">
        <v>1</v>
      </c>
      <c r="AV40" s="1">
        <v>1</v>
      </c>
      <c r="AW40" s="1">
        <v>1</v>
      </c>
      <c r="AX40" s="1">
        <v>1</v>
      </c>
      <c r="AY40" s="3">
        <v>1</v>
      </c>
      <c r="AZ40" s="43">
        <f>SUMPRODUCT($AT$15:$AX$15,T_MEDIDAS[[#This Row],[&lt;5.000]:[&gt;100.000]])</f>
        <v>1</v>
      </c>
      <c r="BA40" s="1">
        <v>1</v>
      </c>
      <c r="BB40" s="1">
        <v>1</v>
      </c>
      <c r="BC40" s="1">
        <v>1</v>
      </c>
      <c r="BD40" s="1">
        <v>1</v>
      </c>
      <c r="BE40" s="1">
        <v>1</v>
      </c>
      <c r="BF40" s="1">
        <v>1</v>
      </c>
      <c r="BG40" s="1">
        <v>1</v>
      </c>
      <c r="BH40" s="43" cm="1">
        <f t="array" ref="BH40">SUMPRODUCT(--((T_MEDIDAS[[#This Row],[Centros de salud o asistencia social]:[Escuelas / Centros de educación]] + $AZ$15:$BF$15)&gt;0))</f>
        <v>7</v>
      </c>
      <c r="BI40" s="44">
        <v>2</v>
      </c>
      <c r="BJ40" s="44">
        <v>3</v>
      </c>
      <c r="BK40" s="44">
        <v>1</v>
      </c>
      <c r="BL40" s="44">
        <v>2</v>
      </c>
      <c r="BM40" s="44">
        <v>1</v>
      </c>
      <c r="BN40" s="44">
        <v>1</v>
      </c>
      <c r="BO40" s="44">
        <v>1</v>
      </c>
      <c r="BP40" s="44">
        <v>1</v>
      </c>
      <c r="BQ40" s="47" cm="1">
        <f t="array" ref="BQ40">T_MEDIDAS[[#This Row],[Aplicación tamaño]]*(SUMPRODUCT(T_MEDIDAS[[#This Row],[C1_Refrigeración]:[C8_Tiempo]],TRANSPOSE('2.PONDERACIÓN'!$L$13:$L$20))+(ROW(C40)-ROW($C$18)+1)*0.0000000001)*100</f>
        <v>150.00000022999998</v>
      </c>
      <c r="BR40" s="84"/>
      <c r="BS40" s="90"/>
    </row>
    <row r="41" spans="1:71" ht="34.5" hidden="1">
      <c r="A41" s="84"/>
      <c r="B41" s="90"/>
      <c r="C41" s="84"/>
      <c r="D41" s="43">
        <f>IF(T_MEDIDAS[[#This Row],[Peso Criterios]]&lt;=0,"",_xlfn.RANK.EQ(T_MEDIDAS[[#This Row],[Peso Criterios]],T_MEDIDAS[Peso Criterios]))</f>
        <v>99</v>
      </c>
      <c r="E41" s="116" t="s">
        <v>201</v>
      </c>
      <c r="F41" s="117" t="s">
        <v>71</v>
      </c>
      <c r="G41" s="117" t="s">
        <v>56</v>
      </c>
      <c r="H41" s="117" t="s">
        <v>171</v>
      </c>
      <c r="I41" s="117" t="s">
        <v>202</v>
      </c>
      <c r="J41" s="117"/>
      <c r="K41" s="120"/>
      <c r="L41" s="19">
        <v>1</v>
      </c>
      <c r="M41" s="19">
        <v>1</v>
      </c>
      <c r="N41" s="121" t="str">
        <f t="shared" si="0"/>
        <v>€€€</v>
      </c>
      <c r="O41" s="122">
        <v>1</v>
      </c>
      <c r="P41" s="122"/>
      <c r="Q41" s="20"/>
      <c r="R41" s="122"/>
      <c r="S41" s="34" t="str">
        <f>IF(T_MEDIDAS[[#This Row],[No risk (0)]]=1,"■","")</f>
        <v>■</v>
      </c>
      <c r="T41" s="35" t="str">
        <f>IF(T_MEDIDAS[[#This Row],[Low risk (1)]]=1,"■","")</f>
        <v/>
      </c>
      <c r="U41" s="36" t="str">
        <f>IF(T_MEDIDAS[[#This Row],[Medidaium risk (2)]]=1,"■","")</f>
        <v/>
      </c>
      <c r="V41" s="81" t="str">
        <f>IF(T_MEDIDAS[[#This Row],[High risk (3)]]=1,"■","")</f>
        <v/>
      </c>
      <c r="W41" s="19" t="str">
        <f t="shared" si="1"/>
        <v>1. Sin Riesgo (Verde)</v>
      </c>
      <c r="X41" s="19">
        <f>COUNT(T_MEDIDAS[[#This Row],[Edificios públicos]:[Coordinación]])</f>
        <v>2</v>
      </c>
      <c r="Y41" s="19"/>
      <c r="Z41" s="19" t="str">
        <f>IF(T_MEDIDAS[[#This Row],[Edificios públicos]]=1,"Si","No")</f>
        <v>No</v>
      </c>
      <c r="AA41" s="19"/>
      <c r="AB41" s="19" t="str">
        <f>IF(T_MEDIDAS[[#This Row],[Planificación urbana]]=1,"Si","No")</f>
        <v>No</v>
      </c>
      <c r="AC41" s="19"/>
      <c r="AD41" s="19" t="str">
        <f>IF(T_MEDIDAS[[#This Row],[Cultura y deportes]],"Si","No")</f>
        <v>No</v>
      </c>
      <c r="AE41" s="19"/>
      <c r="AF41" s="19" t="str">
        <f>IF(T_MEDIDAS[[#This Row],[Turismo]],"Si","No")</f>
        <v>No</v>
      </c>
      <c r="AG41" s="19"/>
      <c r="AH41" s="19" t="str">
        <f>IF(T_MEDIDAS[[#This Row],[Riesgos laborales]],"Si","No")</f>
        <v>No</v>
      </c>
      <c r="AI41" s="19">
        <v>1</v>
      </c>
      <c r="AJ41" s="19" t="str">
        <f>IF(T_MEDIDAS[[#This Row],[Educación]],"Si","No")</f>
        <v>Si</v>
      </c>
      <c r="AK41" s="19"/>
      <c r="AL41" s="19" t="str">
        <f>IF(T_MEDIDAS[[#This Row],[Servicios sociales]],"Si","No")</f>
        <v>No</v>
      </c>
      <c r="AM41" s="19"/>
      <c r="AN41" s="19" t="str">
        <f>IF(T_MEDIDAS[[#This Row],[Servicios de emergencia y policía]],"Si","No")</f>
        <v>No</v>
      </c>
      <c r="AO41" s="19">
        <v>1</v>
      </c>
      <c r="AP41" s="19" t="str">
        <f>IF(T_MEDIDAS[[#This Row],[Parques y jardines]],"Si","No")</f>
        <v>Si</v>
      </c>
      <c r="AQ41" s="19"/>
      <c r="AR41" s="19" t="str">
        <f>IF(T_MEDIDAS[[#This Row],[Transporte]],"Si","No")</f>
        <v>No</v>
      </c>
      <c r="AS41" s="125"/>
      <c r="AT41" s="1" t="str">
        <f>IF(T_MEDIDAS[[#This Row],[Coordinación]],"Si","No")</f>
        <v>No</v>
      </c>
      <c r="AU41" s="2">
        <v>1</v>
      </c>
      <c r="AV41" s="1">
        <v>1</v>
      </c>
      <c r="AW41" s="1">
        <v>1</v>
      </c>
      <c r="AX41" s="1">
        <v>1</v>
      </c>
      <c r="AY41" s="3">
        <v>1</v>
      </c>
      <c r="AZ41" s="43">
        <f>SUMPRODUCT($AT$15:$AX$15,T_MEDIDAS[[#This Row],[&lt;5.000]:[&gt;100.000]])</f>
        <v>1</v>
      </c>
      <c r="BA41" s="1">
        <v>1</v>
      </c>
      <c r="BB41" s="1">
        <v>1</v>
      </c>
      <c r="BC41" s="1">
        <v>1</v>
      </c>
      <c r="BD41" s="1">
        <v>1</v>
      </c>
      <c r="BE41" s="1">
        <v>1</v>
      </c>
      <c r="BF41" s="1">
        <v>1</v>
      </c>
      <c r="BG41" s="1"/>
      <c r="BH41" s="43" cm="1">
        <f t="array" ref="BH41">SUMPRODUCT(--((T_MEDIDAS[[#This Row],[Centros de salud o asistencia social]:[Escuelas / Centros de educación]] + $AZ$15:$BF$15)&gt;0))</f>
        <v>6</v>
      </c>
      <c r="BI41" s="1">
        <v>2</v>
      </c>
      <c r="BJ41" s="1">
        <v>3</v>
      </c>
      <c r="BK41" s="1">
        <v>3</v>
      </c>
      <c r="BL41" s="1">
        <v>2</v>
      </c>
      <c r="BM41" s="1">
        <v>1</v>
      </c>
      <c r="BN41" s="1">
        <v>1</v>
      </c>
      <c r="BO41" s="1">
        <v>1</v>
      </c>
      <c r="BP41" s="1">
        <v>1</v>
      </c>
      <c r="BQ41" s="47" cm="1">
        <f t="array" ref="BQ41">T_MEDIDAS[[#This Row],[Aplicación tamaño]]*(SUMPRODUCT(T_MEDIDAS[[#This Row],[C1_Refrigeración]:[C8_Tiempo]],TRANSPOSE('2.PONDERACIÓN'!$L$13:$L$20))+(ROW(C41)-ROW($C$18)+1)*0.0000000001)*100</f>
        <v>175.00000023999999</v>
      </c>
      <c r="BR41" s="84"/>
      <c r="BS41" s="90"/>
    </row>
    <row r="42" spans="1:71" ht="34.5" hidden="1">
      <c r="A42" s="84"/>
      <c r="B42" s="90"/>
      <c r="C42" s="84"/>
      <c r="D42" s="43">
        <f>IF(T_MEDIDAS[[#This Row],[Peso Criterios]]&lt;=0,"",_xlfn.RANK.EQ(T_MEDIDAS[[#This Row],[Peso Criterios]],T_MEDIDAS[Peso Criterios]))</f>
        <v>98</v>
      </c>
      <c r="E42" s="116" t="s">
        <v>203</v>
      </c>
      <c r="F42" s="117" t="s">
        <v>71</v>
      </c>
      <c r="G42" s="117" t="s">
        <v>47</v>
      </c>
      <c r="H42" s="117" t="s">
        <v>157</v>
      </c>
      <c r="I42" s="117" t="s">
        <v>204</v>
      </c>
      <c r="J42" s="117"/>
      <c r="K42" s="120"/>
      <c r="L42" s="19">
        <v>1</v>
      </c>
      <c r="M42" s="19">
        <v>1</v>
      </c>
      <c r="N42" s="121" t="str">
        <f t="shared" si="0"/>
        <v>€€€</v>
      </c>
      <c r="O42" s="122">
        <v>1</v>
      </c>
      <c r="P42" s="122">
        <v>1</v>
      </c>
      <c r="Q42" s="20"/>
      <c r="R42" s="122"/>
      <c r="S42" s="34" t="str">
        <f>IF(T_MEDIDAS[[#This Row],[No risk (0)]]=1,"■","")</f>
        <v>■</v>
      </c>
      <c r="T42" s="35" t="str">
        <f>IF(T_MEDIDAS[[#This Row],[Low risk (1)]]=1,"■","")</f>
        <v>■</v>
      </c>
      <c r="U42" s="36" t="str">
        <f>IF(T_MEDIDAS[[#This Row],[Medidaium risk (2)]]=1,"■","")</f>
        <v/>
      </c>
      <c r="V42" s="81" t="str">
        <f>IF(T_MEDIDAS[[#This Row],[High risk (3)]]=1,"■","")</f>
        <v/>
      </c>
      <c r="W42" s="19" t="str">
        <f t="shared" si="1"/>
        <v>2. Bajo (Amarillo)</v>
      </c>
      <c r="X42" s="19">
        <f>COUNT(T_MEDIDAS[[#This Row],[Edificios públicos]:[Coordinación]])</f>
        <v>1</v>
      </c>
      <c r="Y42" s="19">
        <v>1</v>
      </c>
      <c r="Z42" s="19" t="str">
        <f>IF(T_MEDIDAS[[#This Row],[Edificios públicos]]=1,"Si","No")</f>
        <v>Si</v>
      </c>
      <c r="AA42" s="19"/>
      <c r="AB42" s="19" t="str">
        <f>IF(T_MEDIDAS[[#This Row],[Planificación urbana]]=1,"Si","No")</f>
        <v>No</v>
      </c>
      <c r="AC42" s="19"/>
      <c r="AD42" s="19" t="str">
        <f>IF(T_MEDIDAS[[#This Row],[Cultura y deportes]],"Si","No")</f>
        <v>No</v>
      </c>
      <c r="AE42" s="19"/>
      <c r="AF42" s="19" t="str">
        <f>IF(T_MEDIDAS[[#This Row],[Turismo]],"Si","No")</f>
        <v>No</v>
      </c>
      <c r="AG42" s="19"/>
      <c r="AH42" s="19" t="str">
        <f>IF(T_MEDIDAS[[#This Row],[Riesgos laborales]],"Si","No")</f>
        <v>No</v>
      </c>
      <c r="AI42" s="19"/>
      <c r="AJ42" s="19" t="str">
        <f>IF(T_MEDIDAS[[#This Row],[Educación]],"Si","No")</f>
        <v>No</v>
      </c>
      <c r="AK42" s="19"/>
      <c r="AL42" s="19" t="str">
        <f>IF(T_MEDIDAS[[#This Row],[Servicios sociales]],"Si","No")</f>
        <v>No</v>
      </c>
      <c r="AM42" s="19"/>
      <c r="AN42" s="19" t="str">
        <f>IF(T_MEDIDAS[[#This Row],[Servicios de emergencia y policía]],"Si","No")</f>
        <v>No</v>
      </c>
      <c r="AO42" s="19"/>
      <c r="AP42" s="19" t="str">
        <f>IF(T_MEDIDAS[[#This Row],[Parques y jardines]],"Si","No")</f>
        <v>No</v>
      </c>
      <c r="AQ42" s="19"/>
      <c r="AR42" s="19" t="str">
        <f>IF(T_MEDIDAS[[#This Row],[Transporte]],"Si","No")</f>
        <v>No</v>
      </c>
      <c r="AS42" s="125"/>
      <c r="AT42" s="1" t="str">
        <f>IF(T_MEDIDAS[[#This Row],[Coordinación]],"Si","No")</f>
        <v>No</v>
      </c>
      <c r="AU42" s="2">
        <v>1</v>
      </c>
      <c r="AV42" s="1">
        <v>1</v>
      </c>
      <c r="AW42" s="1">
        <v>1</v>
      </c>
      <c r="AX42" s="1">
        <v>1</v>
      </c>
      <c r="AY42" s="3">
        <v>1</v>
      </c>
      <c r="AZ42" s="43">
        <f>SUMPRODUCT($AT$15:$AX$15,T_MEDIDAS[[#This Row],[&lt;5.000]:[&gt;100.000]])</f>
        <v>1</v>
      </c>
      <c r="BA42" s="1">
        <v>1</v>
      </c>
      <c r="BB42" s="1">
        <v>1</v>
      </c>
      <c r="BC42" s="1">
        <v>1</v>
      </c>
      <c r="BD42" s="1">
        <v>1</v>
      </c>
      <c r="BE42" s="1">
        <v>1</v>
      </c>
      <c r="BF42" s="1">
        <v>1</v>
      </c>
      <c r="BG42" s="1">
        <v>1</v>
      </c>
      <c r="BH42" s="43" cm="1">
        <f t="array" ref="BH42">SUMPRODUCT(--((T_MEDIDAS[[#This Row],[Centros de salud o asistencia social]:[Escuelas / Centros de educación]] + $AZ$15:$BF$15)&gt;0))</f>
        <v>7</v>
      </c>
      <c r="BI42" s="44">
        <v>2</v>
      </c>
      <c r="BJ42" s="44">
        <v>0</v>
      </c>
      <c r="BK42" s="44">
        <v>1</v>
      </c>
      <c r="BL42" s="44">
        <v>2</v>
      </c>
      <c r="BM42" s="44">
        <v>2</v>
      </c>
      <c r="BN42" s="44">
        <v>1</v>
      </c>
      <c r="BO42" s="44">
        <v>3</v>
      </c>
      <c r="BP42" s="44">
        <v>3</v>
      </c>
      <c r="BQ42" s="47" cm="1">
        <f t="array" ref="BQ42">T_MEDIDAS[[#This Row],[Aplicación tamaño]]*(SUMPRODUCT(T_MEDIDAS[[#This Row],[C1_Refrigeración]:[C8_Tiempo]],TRANSPOSE('2.PONDERACIÓN'!$L$13:$L$20))+(ROW(C42)-ROW($C$18)+1)*0.0000000001)*100</f>
        <v>175.00000025</v>
      </c>
      <c r="BR42" s="84"/>
      <c r="BS42" s="90"/>
    </row>
    <row r="43" spans="1:71" ht="34.5" hidden="1">
      <c r="A43" s="84"/>
      <c r="B43" s="90"/>
      <c r="C43" s="84"/>
      <c r="D43" s="43">
        <f>IF(T_MEDIDAS[[#This Row],[Peso Criterios]]&lt;=0,"",_xlfn.RANK.EQ(T_MEDIDAS[[#This Row],[Peso Criterios]],T_MEDIDAS[Peso Criterios]))</f>
        <v>139</v>
      </c>
      <c r="E43" s="116" t="s">
        <v>205</v>
      </c>
      <c r="F43" s="117" t="s">
        <v>71</v>
      </c>
      <c r="G43" s="117" t="s">
        <v>47</v>
      </c>
      <c r="H43" s="117" t="s">
        <v>157</v>
      </c>
      <c r="I43" s="117" t="s">
        <v>206</v>
      </c>
      <c r="J43" s="117"/>
      <c r="K43" s="120"/>
      <c r="L43" s="19">
        <v>1</v>
      </c>
      <c r="M43" s="19">
        <v>1</v>
      </c>
      <c r="N43" s="121" t="str">
        <f t="shared" si="0"/>
        <v>€€€</v>
      </c>
      <c r="O43" s="122">
        <v>1</v>
      </c>
      <c r="P43" s="122"/>
      <c r="Q43" s="20"/>
      <c r="R43" s="122"/>
      <c r="S43" s="34" t="str">
        <f>IF(T_MEDIDAS[[#This Row],[No risk (0)]]=1,"■","")</f>
        <v>■</v>
      </c>
      <c r="T43" s="35" t="str">
        <f>IF(T_MEDIDAS[[#This Row],[Low risk (1)]]=1,"■","")</f>
        <v/>
      </c>
      <c r="U43" s="36" t="str">
        <f>IF(T_MEDIDAS[[#This Row],[Medidaium risk (2)]]=1,"■","")</f>
        <v/>
      </c>
      <c r="V43" s="81" t="str">
        <f>IF(T_MEDIDAS[[#This Row],[High risk (3)]]=1,"■","")</f>
        <v/>
      </c>
      <c r="W43" s="19" t="str">
        <f t="shared" si="1"/>
        <v>1. Sin Riesgo (Verde)</v>
      </c>
      <c r="X43" s="19">
        <f>COUNT(T_MEDIDAS[[#This Row],[Edificios públicos]:[Coordinación]])</f>
        <v>1</v>
      </c>
      <c r="Y43" s="19">
        <v>1</v>
      </c>
      <c r="Z43" s="19" t="str">
        <f>IF(T_MEDIDAS[[#This Row],[Edificios públicos]]=1,"Si","No")</f>
        <v>Si</v>
      </c>
      <c r="AA43" s="19"/>
      <c r="AB43" s="19" t="str">
        <f>IF(T_MEDIDAS[[#This Row],[Planificación urbana]]=1,"Si","No")</f>
        <v>No</v>
      </c>
      <c r="AC43" s="19"/>
      <c r="AD43" s="19" t="str">
        <f>IF(T_MEDIDAS[[#This Row],[Cultura y deportes]],"Si","No")</f>
        <v>No</v>
      </c>
      <c r="AE43" s="19"/>
      <c r="AF43" s="19" t="str">
        <f>IF(T_MEDIDAS[[#This Row],[Turismo]],"Si","No")</f>
        <v>No</v>
      </c>
      <c r="AG43" s="19"/>
      <c r="AH43" s="19" t="str">
        <f>IF(T_MEDIDAS[[#This Row],[Riesgos laborales]],"Si","No")</f>
        <v>No</v>
      </c>
      <c r="AI43" s="19"/>
      <c r="AJ43" s="19" t="str">
        <f>IF(T_MEDIDAS[[#This Row],[Educación]],"Si","No")</f>
        <v>No</v>
      </c>
      <c r="AK43" s="19"/>
      <c r="AL43" s="19" t="str">
        <f>IF(T_MEDIDAS[[#This Row],[Servicios sociales]],"Si","No")</f>
        <v>No</v>
      </c>
      <c r="AM43" s="19"/>
      <c r="AN43" s="19" t="str">
        <f>IF(T_MEDIDAS[[#This Row],[Servicios de emergencia y policía]],"Si","No")</f>
        <v>No</v>
      </c>
      <c r="AO43" s="19"/>
      <c r="AP43" s="19" t="str">
        <f>IF(T_MEDIDAS[[#This Row],[Parques y jardines]],"Si","No")</f>
        <v>No</v>
      </c>
      <c r="AQ43" s="19"/>
      <c r="AR43" s="19" t="str">
        <f>IF(T_MEDIDAS[[#This Row],[Transporte]],"Si","No")</f>
        <v>No</v>
      </c>
      <c r="AS43" s="125"/>
      <c r="AT43" s="1" t="str">
        <f>IF(T_MEDIDAS[[#This Row],[Coordinación]],"Si","No")</f>
        <v>No</v>
      </c>
      <c r="AU43" s="2">
        <v>1</v>
      </c>
      <c r="AV43" s="1">
        <v>1</v>
      </c>
      <c r="AW43" s="1">
        <v>1</v>
      </c>
      <c r="AX43" s="1">
        <v>1</v>
      </c>
      <c r="AY43" s="3">
        <v>1</v>
      </c>
      <c r="AZ43" s="43">
        <f>SUMPRODUCT($AT$15:$AX$15,T_MEDIDAS[[#This Row],[&lt;5.000]:[&gt;100.000]])</f>
        <v>1</v>
      </c>
      <c r="BA43" s="1">
        <v>1</v>
      </c>
      <c r="BB43" s="1">
        <v>1</v>
      </c>
      <c r="BC43" s="1">
        <v>1</v>
      </c>
      <c r="BD43" s="1">
        <v>1</v>
      </c>
      <c r="BE43" s="1">
        <v>1</v>
      </c>
      <c r="BF43" s="1">
        <v>1</v>
      </c>
      <c r="BG43" s="1">
        <v>1</v>
      </c>
      <c r="BH43" s="43" cm="1">
        <f t="array" ref="BH43">SUMPRODUCT(--((T_MEDIDAS[[#This Row],[Centros de salud o asistencia social]:[Escuelas / Centros de educación]] + $AZ$15:$BF$15)&gt;0))</f>
        <v>7</v>
      </c>
      <c r="BI43" s="1">
        <v>2</v>
      </c>
      <c r="BJ43" s="1">
        <v>0</v>
      </c>
      <c r="BK43" s="1">
        <v>0</v>
      </c>
      <c r="BL43" s="1">
        <v>1</v>
      </c>
      <c r="BM43" s="1">
        <v>3</v>
      </c>
      <c r="BN43" s="1">
        <v>1</v>
      </c>
      <c r="BO43" s="1">
        <v>1</v>
      </c>
      <c r="BP43" s="1">
        <v>1</v>
      </c>
      <c r="BQ43" s="47" cm="1">
        <f t="array" ref="BQ43">T_MEDIDAS[[#This Row],[Aplicación tamaño]]*(SUMPRODUCT(T_MEDIDAS[[#This Row],[C1_Refrigeración]:[C8_Tiempo]],TRANSPOSE('2.PONDERACIÓN'!$L$13:$L$20))+(ROW(C43)-ROW($C$18)+1)*0.0000000001)*100</f>
        <v>112.50000025999999</v>
      </c>
      <c r="BR43" s="84"/>
      <c r="BS43" s="90"/>
    </row>
    <row r="44" spans="1:71" ht="34.5" hidden="1">
      <c r="A44" s="84"/>
      <c r="B44" s="90"/>
      <c r="C44" s="84"/>
      <c r="D44" s="43">
        <f>IF(T_MEDIDAS[[#This Row],[Peso Criterios]]&lt;=0,"",_xlfn.RANK.EQ(T_MEDIDAS[[#This Row],[Peso Criterios]],T_MEDIDAS[Peso Criterios]))</f>
        <v>97</v>
      </c>
      <c r="E44" s="116" t="s">
        <v>207</v>
      </c>
      <c r="F44" s="117" t="s">
        <v>71</v>
      </c>
      <c r="G44" s="117" t="s">
        <v>56</v>
      </c>
      <c r="H44" s="117" t="s">
        <v>171</v>
      </c>
      <c r="I44" s="117" t="s">
        <v>208</v>
      </c>
      <c r="J44" s="117"/>
      <c r="K44" s="120">
        <v>1</v>
      </c>
      <c r="L44" s="19"/>
      <c r="M44" s="19"/>
      <c r="N44" s="121" t="str">
        <f t="shared" si="0"/>
        <v>€</v>
      </c>
      <c r="O44" s="122">
        <v>1</v>
      </c>
      <c r="P44" s="122"/>
      <c r="Q44" s="20"/>
      <c r="R44" s="122"/>
      <c r="S44" s="34" t="str">
        <f>IF(T_MEDIDAS[[#This Row],[No risk (0)]]=1,"■","")</f>
        <v>■</v>
      </c>
      <c r="T44" s="35" t="str">
        <f>IF(T_MEDIDAS[[#This Row],[Low risk (1)]]=1,"■","")</f>
        <v/>
      </c>
      <c r="U44" s="36" t="str">
        <f>IF(T_MEDIDAS[[#This Row],[Medidaium risk (2)]]=1,"■","")</f>
        <v/>
      </c>
      <c r="V44" s="81" t="str">
        <f>IF(T_MEDIDAS[[#This Row],[High risk (3)]]=1,"■","")</f>
        <v/>
      </c>
      <c r="W44" s="19" t="str">
        <f t="shared" si="1"/>
        <v>1. Sin Riesgo (Verde)</v>
      </c>
      <c r="X44" s="19">
        <f>COUNT(T_MEDIDAS[[#This Row],[Edificios públicos]:[Coordinación]])</f>
        <v>1</v>
      </c>
      <c r="Y44" s="19"/>
      <c r="Z44" s="19" t="str">
        <f>IF(T_MEDIDAS[[#This Row],[Edificios públicos]]=1,"Si","No")</f>
        <v>No</v>
      </c>
      <c r="AA44" s="19"/>
      <c r="AB44" s="19" t="str">
        <f>IF(T_MEDIDAS[[#This Row],[Planificación urbana]]=1,"Si","No")</f>
        <v>No</v>
      </c>
      <c r="AC44" s="19"/>
      <c r="AD44" s="19" t="str">
        <f>IF(T_MEDIDAS[[#This Row],[Cultura y deportes]],"Si","No")</f>
        <v>No</v>
      </c>
      <c r="AE44" s="19"/>
      <c r="AF44" s="19" t="str">
        <f>IF(T_MEDIDAS[[#This Row],[Turismo]],"Si","No")</f>
        <v>No</v>
      </c>
      <c r="AG44" s="19">
        <v>1</v>
      </c>
      <c r="AH44" s="19" t="str">
        <f>IF(T_MEDIDAS[[#This Row],[Riesgos laborales]],"Si","No")</f>
        <v>Si</v>
      </c>
      <c r="AI44" s="19"/>
      <c r="AJ44" s="19" t="str">
        <f>IF(T_MEDIDAS[[#This Row],[Educación]],"Si","No")</f>
        <v>No</v>
      </c>
      <c r="AK44" s="19"/>
      <c r="AL44" s="19" t="str">
        <f>IF(T_MEDIDAS[[#This Row],[Servicios sociales]],"Si","No")</f>
        <v>No</v>
      </c>
      <c r="AM44" s="19"/>
      <c r="AN44" s="19" t="str">
        <f>IF(T_MEDIDAS[[#This Row],[Servicios de emergencia y policía]],"Si","No")</f>
        <v>No</v>
      </c>
      <c r="AO44" s="19"/>
      <c r="AP44" s="19" t="str">
        <f>IF(T_MEDIDAS[[#This Row],[Parques y jardines]],"Si","No")</f>
        <v>No</v>
      </c>
      <c r="AQ44" s="19"/>
      <c r="AR44" s="19" t="str">
        <f>IF(T_MEDIDAS[[#This Row],[Transporte]],"Si","No")</f>
        <v>No</v>
      </c>
      <c r="AS44" s="125"/>
      <c r="AT44" s="1" t="str">
        <f>IF(T_MEDIDAS[[#This Row],[Coordinación]],"Si","No")</f>
        <v>No</v>
      </c>
      <c r="AU44" s="2">
        <v>1</v>
      </c>
      <c r="AV44" s="1">
        <v>1</v>
      </c>
      <c r="AW44" s="1">
        <v>1</v>
      </c>
      <c r="AX44" s="1">
        <v>1</v>
      </c>
      <c r="AY44" s="3">
        <v>1</v>
      </c>
      <c r="AZ44" s="43">
        <f>SUMPRODUCT($AT$15:$AX$15,T_MEDIDAS[[#This Row],[&lt;5.000]:[&gt;100.000]])</f>
        <v>1</v>
      </c>
      <c r="BA44" s="1">
        <v>1</v>
      </c>
      <c r="BB44" s="1">
        <v>1</v>
      </c>
      <c r="BC44" s="1">
        <v>1</v>
      </c>
      <c r="BD44" s="1">
        <v>1</v>
      </c>
      <c r="BE44" s="1">
        <v>1</v>
      </c>
      <c r="BF44" s="1">
        <v>1</v>
      </c>
      <c r="BG44" s="1">
        <v>1</v>
      </c>
      <c r="BH44" s="43" cm="1">
        <f t="array" ref="BH44">SUMPRODUCT(--((T_MEDIDAS[[#This Row],[Centros de salud o asistencia social]:[Escuelas / Centros de educación]] + $AZ$15:$BF$15)&gt;0))</f>
        <v>7</v>
      </c>
      <c r="BI44" s="44">
        <v>0</v>
      </c>
      <c r="BJ44" s="44">
        <v>0</v>
      </c>
      <c r="BK44" s="44">
        <v>2</v>
      </c>
      <c r="BL44" s="44">
        <v>1</v>
      </c>
      <c r="BM44" s="44">
        <v>3</v>
      </c>
      <c r="BN44" s="44">
        <v>2</v>
      </c>
      <c r="BO44" s="44">
        <v>3</v>
      </c>
      <c r="BP44" s="44">
        <v>3</v>
      </c>
      <c r="BQ44" s="47" cm="1">
        <f t="array" ref="BQ44">T_MEDIDAS[[#This Row],[Aplicación tamaño]]*(SUMPRODUCT(T_MEDIDAS[[#This Row],[C1_Refrigeración]:[C8_Tiempo]],TRANSPOSE('2.PONDERACIÓN'!$L$13:$L$20))+(ROW(C44)-ROW($C$18)+1)*0.0000000001)*100</f>
        <v>175.00000026999999</v>
      </c>
      <c r="BR44" s="84"/>
      <c r="BS44" s="90"/>
    </row>
    <row r="45" spans="1:71" ht="34.5" hidden="1">
      <c r="A45" s="84"/>
      <c r="B45" s="90"/>
      <c r="C45" s="84"/>
      <c r="D45" s="43">
        <f>IF(T_MEDIDAS[[#This Row],[Peso Criterios]]&lt;=0,"",_xlfn.RANK.EQ(T_MEDIDAS[[#This Row],[Peso Criterios]],T_MEDIDAS[Peso Criterios]))</f>
        <v>42</v>
      </c>
      <c r="E45" s="116" t="s">
        <v>209</v>
      </c>
      <c r="F45" s="117" t="s">
        <v>71</v>
      </c>
      <c r="G45" s="117" t="s">
        <v>50</v>
      </c>
      <c r="H45" s="117" t="s">
        <v>160</v>
      </c>
      <c r="I45" s="126" t="s">
        <v>210</v>
      </c>
      <c r="J45" s="126"/>
      <c r="K45" s="120">
        <v>1</v>
      </c>
      <c r="L45" s="19"/>
      <c r="M45" s="19"/>
      <c r="N45" s="121" t="str">
        <f t="shared" si="0"/>
        <v>€</v>
      </c>
      <c r="O45" s="122">
        <v>1</v>
      </c>
      <c r="P45" s="122"/>
      <c r="Q45" s="20"/>
      <c r="R45" s="122"/>
      <c r="S45" s="34" t="str">
        <f>IF(T_MEDIDAS[[#This Row],[No risk (0)]]=1,"■","")</f>
        <v>■</v>
      </c>
      <c r="T45" s="35" t="str">
        <f>IF(T_MEDIDAS[[#This Row],[Low risk (1)]]=1,"■","")</f>
        <v/>
      </c>
      <c r="U45" s="36" t="str">
        <f>IF(T_MEDIDAS[[#This Row],[Medidaium risk (2)]]=1,"■","")</f>
        <v/>
      </c>
      <c r="V45" s="81" t="str">
        <f>IF(T_MEDIDAS[[#This Row],[High risk (3)]]=1,"■","")</f>
        <v/>
      </c>
      <c r="W45" s="19" t="str">
        <f t="shared" si="1"/>
        <v>1. Sin Riesgo (Verde)</v>
      </c>
      <c r="X45" s="19">
        <f>COUNT(T_MEDIDAS[[#This Row],[Edificios públicos]:[Coordinación]])</f>
        <v>1</v>
      </c>
      <c r="Y45" s="19"/>
      <c r="Z45" s="19" t="str">
        <f>IF(T_MEDIDAS[[#This Row],[Edificios públicos]]=1,"Si","No")</f>
        <v>No</v>
      </c>
      <c r="AA45" s="19"/>
      <c r="AB45" s="19" t="str">
        <f>IF(T_MEDIDAS[[#This Row],[Planificación urbana]]=1,"Si","No")</f>
        <v>No</v>
      </c>
      <c r="AC45" s="19"/>
      <c r="AD45" s="19" t="str">
        <f>IF(T_MEDIDAS[[#This Row],[Cultura y deportes]],"Si","No")</f>
        <v>No</v>
      </c>
      <c r="AE45" s="19"/>
      <c r="AF45" s="19" t="str">
        <f>IF(T_MEDIDAS[[#This Row],[Turismo]],"Si","No")</f>
        <v>No</v>
      </c>
      <c r="AG45" s="19"/>
      <c r="AH45" s="19" t="str">
        <f>IF(T_MEDIDAS[[#This Row],[Riesgos laborales]],"Si","No")</f>
        <v>No</v>
      </c>
      <c r="AI45" s="19">
        <v>1</v>
      </c>
      <c r="AJ45" s="19" t="str">
        <f>IF(T_MEDIDAS[[#This Row],[Educación]],"Si","No")</f>
        <v>Si</v>
      </c>
      <c r="AK45" s="19"/>
      <c r="AL45" s="19" t="str">
        <f>IF(T_MEDIDAS[[#This Row],[Servicios sociales]],"Si","No")</f>
        <v>No</v>
      </c>
      <c r="AM45" s="19"/>
      <c r="AN45" s="19" t="str">
        <f>IF(T_MEDIDAS[[#This Row],[Servicios de emergencia y policía]],"Si","No")</f>
        <v>No</v>
      </c>
      <c r="AO45" s="19"/>
      <c r="AP45" s="19" t="str">
        <f>IF(T_MEDIDAS[[#This Row],[Parques y jardines]],"Si","No")</f>
        <v>No</v>
      </c>
      <c r="AQ45" s="19"/>
      <c r="AR45" s="19" t="str">
        <f>IF(T_MEDIDAS[[#This Row],[Transporte]],"Si","No")</f>
        <v>No</v>
      </c>
      <c r="AS45" s="125"/>
      <c r="AT45" s="1" t="str">
        <f>IF(T_MEDIDAS[[#This Row],[Coordinación]],"Si","No")</f>
        <v>No</v>
      </c>
      <c r="AU45" s="2">
        <v>1</v>
      </c>
      <c r="AV45" s="1">
        <v>1</v>
      </c>
      <c r="AW45" s="1">
        <v>1</v>
      </c>
      <c r="AX45" s="1">
        <v>1</v>
      </c>
      <c r="AY45" s="3">
        <v>1</v>
      </c>
      <c r="AZ45" s="43">
        <f>SUMPRODUCT($AT$15:$AX$15,T_MEDIDAS[[#This Row],[&lt;5.000]:[&gt;100.000]])</f>
        <v>1</v>
      </c>
      <c r="BA45" s="1">
        <v>1</v>
      </c>
      <c r="BB45" s="1">
        <v>1</v>
      </c>
      <c r="BC45" s="1">
        <v>1</v>
      </c>
      <c r="BD45" s="1">
        <v>1</v>
      </c>
      <c r="BE45" s="1">
        <v>1</v>
      </c>
      <c r="BF45" s="1">
        <v>1</v>
      </c>
      <c r="BG45" s="1">
        <v>1</v>
      </c>
      <c r="BH45" s="43" cm="1">
        <f t="array" ref="BH45">SUMPRODUCT(--((T_MEDIDAS[[#This Row],[Centros de salud o asistencia social]:[Escuelas / Centros de educación]] + $AZ$15:$BF$15)&gt;0))</f>
        <v>7</v>
      </c>
      <c r="BI45" s="1">
        <v>0</v>
      </c>
      <c r="BJ45" s="1">
        <v>0</v>
      </c>
      <c r="BK45" s="1">
        <v>3</v>
      </c>
      <c r="BL45" s="1">
        <v>2</v>
      </c>
      <c r="BM45" s="1">
        <v>3</v>
      </c>
      <c r="BN45" s="1">
        <v>2</v>
      </c>
      <c r="BO45" s="1">
        <v>3</v>
      </c>
      <c r="BP45" s="1">
        <v>3</v>
      </c>
      <c r="BQ45" s="47" cm="1">
        <f t="array" ref="BQ45">T_MEDIDAS[[#This Row],[Aplicación tamaño]]*(SUMPRODUCT(T_MEDIDAS[[#This Row],[C1_Refrigeración]:[C8_Tiempo]],TRANSPOSE('2.PONDERACIÓN'!$L$13:$L$20))+(ROW(C45)-ROW($C$18)+1)*0.0000000001)*100</f>
        <v>200.00000027999997</v>
      </c>
      <c r="BR45" s="84"/>
      <c r="BS45" s="90"/>
    </row>
    <row r="46" spans="1:71" ht="34.5" hidden="1">
      <c r="A46" s="84"/>
      <c r="B46" s="90"/>
      <c r="C46" s="84"/>
      <c r="D46" s="43">
        <f>IF(T_MEDIDAS[[#This Row],[Peso Criterios]]&lt;=0,"",_xlfn.RANK.EQ(T_MEDIDAS[[#This Row],[Peso Criterios]],T_MEDIDAS[Peso Criterios]))</f>
        <v>41</v>
      </c>
      <c r="E46" s="116" t="s">
        <v>211</v>
      </c>
      <c r="F46" s="117" t="s">
        <v>71</v>
      </c>
      <c r="G46" s="117" t="s">
        <v>50</v>
      </c>
      <c r="H46" s="117" t="s">
        <v>160</v>
      </c>
      <c r="I46" s="117" t="s">
        <v>212</v>
      </c>
      <c r="J46" s="117"/>
      <c r="K46" s="120">
        <v>1</v>
      </c>
      <c r="L46" s="19"/>
      <c r="M46" s="19"/>
      <c r="N46" s="121" t="str">
        <f t="shared" si="0"/>
        <v>€</v>
      </c>
      <c r="O46" s="122">
        <v>1</v>
      </c>
      <c r="P46" s="122"/>
      <c r="Q46" s="20"/>
      <c r="R46" s="122"/>
      <c r="S46" s="34" t="str">
        <f>IF(T_MEDIDAS[[#This Row],[No risk (0)]]=1,"■","")</f>
        <v>■</v>
      </c>
      <c r="T46" s="35" t="str">
        <f>IF(T_MEDIDAS[[#This Row],[Low risk (1)]]=1,"■","")</f>
        <v/>
      </c>
      <c r="U46" s="36" t="str">
        <f>IF(T_MEDIDAS[[#This Row],[Medidaium risk (2)]]=1,"■","")</f>
        <v/>
      </c>
      <c r="V46" s="81" t="str">
        <f>IF(T_MEDIDAS[[#This Row],[High risk (3)]]=1,"■","")</f>
        <v/>
      </c>
      <c r="W46" s="19" t="str">
        <f t="shared" si="1"/>
        <v>1. Sin Riesgo (Verde)</v>
      </c>
      <c r="X46" s="19">
        <f>COUNT(T_MEDIDAS[[#This Row],[Edificios públicos]:[Coordinación]])</f>
        <v>1</v>
      </c>
      <c r="Y46" s="19"/>
      <c r="Z46" s="19" t="str">
        <f>IF(T_MEDIDAS[[#This Row],[Edificios públicos]]=1,"Si","No")</f>
        <v>No</v>
      </c>
      <c r="AA46" s="19"/>
      <c r="AB46" s="19" t="str">
        <f>IF(T_MEDIDAS[[#This Row],[Planificación urbana]]=1,"Si","No")</f>
        <v>No</v>
      </c>
      <c r="AC46" s="19"/>
      <c r="AD46" s="19" t="str">
        <f>IF(T_MEDIDAS[[#This Row],[Cultura y deportes]],"Si","No")</f>
        <v>No</v>
      </c>
      <c r="AE46" s="19"/>
      <c r="AF46" s="19" t="str">
        <f>IF(T_MEDIDAS[[#This Row],[Turismo]],"Si","No")</f>
        <v>No</v>
      </c>
      <c r="AG46" s="19"/>
      <c r="AH46" s="19" t="str">
        <f>IF(T_MEDIDAS[[#This Row],[Riesgos laborales]],"Si","No")</f>
        <v>No</v>
      </c>
      <c r="AI46" s="19">
        <v>1</v>
      </c>
      <c r="AJ46" s="19" t="str">
        <f>IF(T_MEDIDAS[[#This Row],[Educación]],"Si","No")</f>
        <v>Si</v>
      </c>
      <c r="AK46" s="19"/>
      <c r="AL46" s="19" t="str">
        <f>IF(T_MEDIDAS[[#This Row],[Servicios sociales]],"Si","No")</f>
        <v>No</v>
      </c>
      <c r="AM46" s="19"/>
      <c r="AN46" s="19" t="str">
        <f>IF(T_MEDIDAS[[#This Row],[Servicios de emergencia y policía]],"Si","No")</f>
        <v>No</v>
      </c>
      <c r="AO46" s="19"/>
      <c r="AP46" s="19" t="str">
        <f>IF(T_MEDIDAS[[#This Row],[Parques y jardines]],"Si","No")</f>
        <v>No</v>
      </c>
      <c r="AQ46" s="19"/>
      <c r="AR46" s="19" t="str">
        <f>IF(T_MEDIDAS[[#This Row],[Transporte]],"Si","No")</f>
        <v>No</v>
      </c>
      <c r="AS46" s="125"/>
      <c r="AT46" s="1" t="str">
        <f>IF(T_MEDIDAS[[#This Row],[Coordinación]],"Si","No")</f>
        <v>No</v>
      </c>
      <c r="AU46" s="2">
        <v>1</v>
      </c>
      <c r="AV46" s="1">
        <v>1</v>
      </c>
      <c r="AW46" s="1">
        <v>1</v>
      </c>
      <c r="AX46" s="1">
        <v>1</v>
      </c>
      <c r="AY46" s="3">
        <v>1</v>
      </c>
      <c r="AZ46" s="43">
        <f>SUMPRODUCT($AT$15:$AX$15,T_MEDIDAS[[#This Row],[&lt;5.000]:[&gt;100.000]])</f>
        <v>1</v>
      </c>
      <c r="BA46" s="1">
        <v>1</v>
      </c>
      <c r="BB46" s="1">
        <v>1</v>
      </c>
      <c r="BC46" s="1">
        <v>1</v>
      </c>
      <c r="BD46" s="1">
        <v>1</v>
      </c>
      <c r="BE46" s="1">
        <v>1</v>
      </c>
      <c r="BF46" s="1">
        <v>1</v>
      </c>
      <c r="BG46" s="1"/>
      <c r="BH46" s="43" cm="1">
        <f t="array" ref="BH46">SUMPRODUCT(--((T_MEDIDAS[[#This Row],[Centros de salud o asistencia social]:[Escuelas / Centros de educación]] + $AZ$15:$BF$15)&gt;0))</f>
        <v>6</v>
      </c>
      <c r="BI46" s="44">
        <v>0</v>
      </c>
      <c r="BJ46" s="44">
        <v>0</v>
      </c>
      <c r="BK46" s="44">
        <v>3</v>
      </c>
      <c r="BL46" s="44">
        <v>2</v>
      </c>
      <c r="BM46" s="44">
        <v>3</v>
      </c>
      <c r="BN46" s="44">
        <v>2</v>
      </c>
      <c r="BO46" s="44">
        <v>3</v>
      </c>
      <c r="BP46" s="44">
        <v>3</v>
      </c>
      <c r="BQ46" s="47" cm="1">
        <f t="array" ref="BQ46">T_MEDIDAS[[#This Row],[Aplicación tamaño]]*(SUMPRODUCT(T_MEDIDAS[[#This Row],[C1_Refrigeración]:[C8_Tiempo]],TRANSPOSE('2.PONDERACIÓN'!$L$13:$L$20))+(ROW(C46)-ROW($C$18)+1)*0.0000000001)*100</f>
        <v>200.00000028999997</v>
      </c>
      <c r="BR46" s="84"/>
      <c r="BS46" s="90"/>
    </row>
    <row r="47" spans="1:71" ht="34.5" hidden="1">
      <c r="A47" s="84"/>
      <c r="B47" s="90"/>
      <c r="C47" s="84"/>
      <c r="D47" s="43">
        <f>IF(T_MEDIDAS[[#This Row],[Peso Criterios]]&lt;=0,"",_xlfn.RANK.EQ(T_MEDIDAS[[#This Row],[Peso Criterios]],T_MEDIDAS[Peso Criterios]))</f>
        <v>133</v>
      </c>
      <c r="E47" s="116" t="s">
        <v>213</v>
      </c>
      <c r="F47" s="117" t="s">
        <v>71</v>
      </c>
      <c r="G47" s="117" t="s">
        <v>56</v>
      </c>
      <c r="H47" s="117" t="s">
        <v>171</v>
      </c>
      <c r="I47" s="117" t="s">
        <v>214</v>
      </c>
      <c r="J47" s="117"/>
      <c r="K47" s="120">
        <v>1</v>
      </c>
      <c r="L47" s="19">
        <v>1</v>
      </c>
      <c r="M47" s="19"/>
      <c r="N47" s="121" t="str">
        <f t="shared" si="0"/>
        <v>€€</v>
      </c>
      <c r="O47" s="122">
        <v>1</v>
      </c>
      <c r="P47" s="122"/>
      <c r="Q47" s="20"/>
      <c r="R47" s="122"/>
      <c r="S47" s="34" t="str">
        <f>IF(T_MEDIDAS[[#This Row],[No risk (0)]]=1,"■","")</f>
        <v>■</v>
      </c>
      <c r="T47" s="35" t="str">
        <f>IF(T_MEDIDAS[[#This Row],[Low risk (1)]]=1,"■","")</f>
        <v/>
      </c>
      <c r="U47" s="36" t="str">
        <f>IF(T_MEDIDAS[[#This Row],[Medidaium risk (2)]]=1,"■","")</f>
        <v/>
      </c>
      <c r="V47" s="81" t="str">
        <f>IF(T_MEDIDAS[[#This Row],[High risk (3)]]=1,"■","")</f>
        <v/>
      </c>
      <c r="W47" s="19" t="str">
        <f t="shared" si="1"/>
        <v>1. Sin Riesgo (Verde)</v>
      </c>
      <c r="X47" s="19">
        <f>COUNT(T_MEDIDAS[[#This Row],[Edificios públicos]:[Coordinación]])</f>
        <v>1</v>
      </c>
      <c r="Y47" s="19">
        <v>1</v>
      </c>
      <c r="Z47" s="19" t="str">
        <f>IF(T_MEDIDAS[[#This Row],[Edificios públicos]]=1,"Si","No")</f>
        <v>Si</v>
      </c>
      <c r="AA47" s="19"/>
      <c r="AB47" s="19" t="str">
        <f>IF(T_MEDIDAS[[#This Row],[Planificación urbana]]=1,"Si","No")</f>
        <v>No</v>
      </c>
      <c r="AC47" s="19"/>
      <c r="AD47" s="19" t="str">
        <f>IF(T_MEDIDAS[[#This Row],[Cultura y deportes]],"Si","No")</f>
        <v>No</v>
      </c>
      <c r="AE47" s="19"/>
      <c r="AF47" s="19" t="str">
        <f>IF(T_MEDIDAS[[#This Row],[Turismo]],"Si","No")</f>
        <v>No</v>
      </c>
      <c r="AG47" s="19"/>
      <c r="AH47" s="19" t="str">
        <f>IF(T_MEDIDAS[[#This Row],[Riesgos laborales]],"Si","No")</f>
        <v>No</v>
      </c>
      <c r="AI47" s="19"/>
      <c r="AJ47" s="19" t="str">
        <f>IF(T_MEDIDAS[[#This Row],[Educación]],"Si","No")</f>
        <v>No</v>
      </c>
      <c r="AK47" s="19"/>
      <c r="AL47" s="19" t="str">
        <f>IF(T_MEDIDAS[[#This Row],[Servicios sociales]],"Si","No")</f>
        <v>No</v>
      </c>
      <c r="AM47" s="19"/>
      <c r="AN47" s="19" t="str">
        <f>IF(T_MEDIDAS[[#This Row],[Servicios de emergencia y policía]],"Si","No")</f>
        <v>No</v>
      </c>
      <c r="AO47" s="19"/>
      <c r="AP47" s="19" t="str">
        <f>IF(T_MEDIDAS[[#This Row],[Parques y jardines]],"Si","No")</f>
        <v>No</v>
      </c>
      <c r="AQ47" s="19"/>
      <c r="AR47" s="19" t="str">
        <f>IF(T_MEDIDAS[[#This Row],[Transporte]],"Si","No")</f>
        <v>No</v>
      </c>
      <c r="AS47" s="125"/>
      <c r="AT47" s="1" t="str">
        <f>IF(T_MEDIDAS[[#This Row],[Coordinación]],"Si","No")</f>
        <v>No</v>
      </c>
      <c r="AU47" s="2"/>
      <c r="AV47" s="1">
        <v>1</v>
      </c>
      <c r="AW47" s="1">
        <v>1</v>
      </c>
      <c r="AX47" s="1">
        <v>1</v>
      </c>
      <c r="AY47" s="3">
        <v>1</v>
      </c>
      <c r="AZ47" s="43">
        <f>SUMPRODUCT($AT$15:$AX$15,T_MEDIDAS[[#This Row],[&lt;5.000]:[&gt;100.000]])</f>
        <v>1</v>
      </c>
      <c r="BA47" s="1">
        <v>1</v>
      </c>
      <c r="BB47" s="1">
        <v>1</v>
      </c>
      <c r="BC47" s="1">
        <v>1</v>
      </c>
      <c r="BD47" s="1">
        <v>1</v>
      </c>
      <c r="BE47" s="1">
        <v>1</v>
      </c>
      <c r="BF47" s="1">
        <v>1</v>
      </c>
      <c r="BG47" s="1">
        <v>1</v>
      </c>
      <c r="BH47" s="43" cm="1">
        <f t="array" ref="BH47">SUMPRODUCT(--((T_MEDIDAS[[#This Row],[Centros de salud o asistencia social]:[Escuelas / Centros de educación]] + $AZ$15:$BF$15)&gt;0))</f>
        <v>7</v>
      </c>
      <c r="BI47" s="1">
        <v>0</v>
      </c>
      <c r="BJ47" s="1">
        <v>0</v>
      </c>
      <c r="BK47" s="1">
        <v>1</v>
      </c>
      <c r="BL47" s="1">
        <v>1</v>
      </c>
      <c r="BM47" s="1">
        <v>1</v>
      </c>
      <c r="BN47" s="1">
        <v>2</v>
      </c>
      <c r="BO47" s="1">
        <v>3</v>
      </c>
      <c r="BP47" s="1">
        <v>2</v>
      </c>
      <c r="BQ47" s="47" cm="1">
        <f t="array" ref="BQ47">T_MEDIDAS[[#This Row],[Aplicación tamaño]]*(SUMPRODUCT(T_MEDIDAS[[#This Row],[C1_Refrigeración]:[C8_Tiempo]],TRANSPOSE('2.PONDERACIÓN'!$L$13:$L$20))+(ROW(C47)-ROW($C$18)+1)*0.0000000001)*100</f>
        <v>125.0000003</v>
      </c>
      <c r="BR47" s="84"/>
      <c r="BS47" s="90"/>
    </row>
    <row r="48" spans="1:71" ht="34.5" hidden="1">
      <c r="A48" s="84"/>
      <c r="B48" s="90"/>
      <c r="C48" s="84"/>
      <c r="D48" s="43">
        <f>IF(T_MEDIDAS[[#This Row],[Peso Criterios]]&lt;=0,"",_xlfn.RANK.EQ(T_MEDIDAS[[#This Row],[Peso Criterios]],T_MEDIDAS[Peso Criterios]))</f>
        <v>96</v>
      </c>
      <c r="E48" s="116" t="s">
        <v>215</v>
      </c>
      <c r="F48" s="117" t="s">
        <v>71</v>
      </c>
      <c r="G48" s="117" t="s">
        <v>56</v>
      </c>
      <c r="H48" s="117" t="s">
        <v>171</v>
      </c>
      <c r="I48" s="117" t="s">
        <v>216</v>
      </c>
      <c r="J48" s="117"/>
      <c r="K48" s="120">
        <v>1</v>
      </c>
      <c r="L48" s="19"/>
      <c r="M48" s="19"/>
      <c r="N48" s="121" t="str">
        <f t="shared" si="0"/>
        <v>€</v>
      </c>
      <c r="O48" s="122">
        <v>1</v>
      </c>
      <c r="P48" s="122"/>
      <c r="Q48" s="20"/>
      <c r="R48" s="122"/>
      <c r="S48" s="34" t="str">
        <f>IF(T_MEDIDAS[[#This Row],[No risk (0)]]=1,"■","")</f>
        <v>■</v>
      </c>
      <c r="T48" s="35" t="str">
        <f>IF(T_MEDIDAS[[#This Row],[Low risk (1)]]=1,"■","")</f>
        <v/>
      </c>
      <c r="U48" s="36" t="str">
        <f>IF(T_MEDIDAS[[#This Row],[Medidaium risk (2)]]=1,"■","")</f>
        <v/>
      </c>
      <c r="V48" s="81" t="str">
        <f>IF(T_MEDIDAS[[#This Row],[High risk (3)]]=1,"■","")</f>
        <v/>
      </c>
      <c r="W48" s="19" t="str">
        <f t="shared" si="1"/>
        <v>1. Sin Riesgo (Verde)</v>
      </c>
      <c r="X48" s="19">
        <f>COUNT(T_MEDIDAS[[#This Row],[Edificios públicos]:[Coordinación]])</f>
        <v>1</v>
      </c>
      <c r="Y48" s="19"/>
      <c r="Z48" s="19" t="str">
        <f>IF(T_MEDIDAS[[#This Row],[Edificios públicos]]=1,"Si","No")</f>
        <v>No</v>
      </c>
      <c r="AA48" s="19"/>
      <c r="AB48" s="19" t="str">
        <f>IF(T_MEDIDAS[[#This Row],[Planificación urbana]]=1,"Si","No")</f>
        <v>No</v>
      </c>
      <c r="AC48" s="19"/>
      <c r="AD48" s="19" t="str">
        <f>IF(T_MEDIDAS[[#This Row],[Cultura y deportes]],"Si","No")</f>
        <v>No</v>
      </c>
      <c r="AE48" s="19"/>
      <c r="AF48" s="19" t="str">
        <f>IF(T_MEDIDAS[[#This Row],[Turismo]],"Si","No")</f>
        <v>No</v>
      </c>
      <c r="AG48" s="19"/>
      <c r="AH48" s="19" t="str">
        <f>IF(T_MEDIDAS[[#This Row],[Riesgos laborales]],"Si","No")</f>
        <v>No</v>
      </c>
      <c r="AI48" s="19"/>
      <c r="AJ48" s="19" t="str">
        <f>IF(T_MEDIDAS[[#This Row],[Educación]],"Si","No")</f>
        <v>No</v>
      </c>
      <c r="AK48" s="19"/>
      <c r="AL48" s="19" t="str">
        <f>IF(T_MEDIDAS[[#This Row],[Servicios sociales]],"Si","No")</f>
        <v>No</v>
      </c>
      <c r="AM48" s="19"/>
      <c r="AN48" s="19" t="str">
        <f>IF(T_MEDIDAS[[#This Row],[Servicios de emergencia y policía]],"Si","No")</f>
        <v>No</v>
      </c>
      <c r="AO48" s="19"/>
      <c r="AP48" s="19" t="str">
        <f>IF(T_MEDIDAS[[#This Row],[Parques y jardines]],"Si","No")</f>
        <v>No</v>
      </c>
      <c r="AQ48" s="19">
        <v>1</v>
      </c>
      <c r="AR48" s="19" t="str">
        <f>IF(T_MEDIDAS[[#This Row],[Transporte]],"Si","No")</f>
        <v>Si</v>
      </c>
      <c r="AS48" s="125"/>
      <c r="AT48" s="1" t="str">
        <f>IF(T_MEDIDAS[[#This Row],[Coordinación]],"Si","No")</f>
        <v>No</v>
      </c>
      <c r="AU48" s="2"/>
      <c r="AV48" s="1"/>
      <c r="AW48" s="1"/>
      <c r="AX48" s="1">
        <v>1</v>
      </c>
      <c r="AY48" s="3">
        <v>1</v>
      </c>
      <c r="AZ48" s="43">
        <f>SUMPRODUCT($AT$15:$AX$15,T_MEDIDAS[[#This Row],[&lt;5.000]:[&gt;100.000]])</f>
        <v>1</v>
      </c>
      <c r="BA48" s="1">
        <v>1</v>
      </c>
      <c r="BB48" s="1">
        <v>1</v>
      </c>
      <c r="BC48" s="1">
        <v>1</v>
      </c>
      <c r="BD48" s="1">
        <v>1</v>
      </c>
      <c r="BE48" s="1">
        <v>1</v>
      </c>
      <c r="BF48" s="1"/>
      <c r="BG48" s="1">
        <v>1</v>
      </c>
      <c r="BH48" s="43" cm="1">
        <f t="array" ref="BH48">SUMPRODUCT(--((T_MEDIDAS[[#This Row],[Centros de salud o asistencia social]:[Escuelas / Centros de educación]] + $AZ$15:$BF$15)&gt;0))</f>
        <v>6</v>
      </c>
      <c r="BI48" s="44">
        <v>0</v>
      </c>
      <c r="BJ48" s="44">
        <v>0</v>
      </c>
      <c r="BK48" s="44">
        <v>1</v>
      </c>
      <c r="BL48" s="44">
        <v>2</v>
      </c>
      <c r="BM48" s="44">
        <v>3</v>
      </c>
      <c r="BN48" s="44">
        <v>2</v>
      </c>
      <c r="BO48" s="44">
        <v>3</v>
      </c>
      <c r="BP48" s="44">
        <v>3</v>
      </c>
      <c r="BQ48" s="47" cm="1">
        <f t="array" ref="BQ48">T_MEDIDAS[[#This Row],[Aplicación tamaño]]*(SUMPRODUCT(T_MEDIDAS[[#This Row],[C1_Refrigeración]:[C8_Tiempo]],TRANSPOSE('2.PONDERACIÓN'!$L$13:$L$20))+(ROW(C48)-ROW($C$18)+1)*0.0000000001)*100</f>
        <v>175.00000030999999</v>
      </c>
      <c r="BR48" s="84"/>
      <c r="BS48" s="90"/>
    </row>
    <row r="49" spans="1:71" ht="34.5" hidden="1">
      <c r="A49" s="84"/>
      <c r="B49" s="90"/>
      <c r="C49" s="84"/>
      <c r="D49" s="43">
        <f>IF(T_MEDIDAS[[#This Row],[Peso Criterios]]&lt;=0,"",_xlfn.RANK.EQ(T_MEDIDAS[[#This Row],[Peso Criterios]],T_MEDIDAS[Peso Criterios]))</f>
        <v>95</v>
      </c>
      <c r="E49" s="116" t="s">
        <v>217</v>
      </c>
      <c r="F49" s="117" t="s">
        <v>71</v>
      </c>
      <c r="G49" s="117" t="s">
        <v>47</v>
      </c>
      <c r="H49" s="117" t="s">
        <v>157</v>
      </c>
      <c r="I49" s="117" t="s">
        <v>218</v>
      </c>
      <c r="J49" s="117"/>
      <c r="K49" s="120"/>
      <c r="L49" s="19">
        <v>1</v>
      </c>
      <c r="M49" s="19"/>
      <c r="N49" s="121" t="str">
        <f t="shared" si="0"/>
        <v>€€</v>
      </c>
      <c r="O49" s="122">
        <v>1</v>
      </c>
      <c r="P49" s="122"/>
      <c r="Q49" s="20"/>
      <c r="R49" s="122"/>
      <c r="S49" s="34" t="str">
        <f>IF(T_MEDIDAS[[#This Row],[No risk (0)]]=1,"■","")</f>
        <v>■</v>
      </c>
      <c r="T49" s="35" t="str">
        <f>IF(T_MEDIDAS[[#This Row],[Low risk (1)]]=1,"■","")</f>
        <v/>
      </c>
      <c r="U49" s="36" t="str">
        <f>IF(T_MEDIDAS[[#This Row],[Medidaium risk (2)]]=1,"■","")</f>
        <v/>
      </c>
      <c r="V49" s="81" t="str">
        <f>IF(T_MEDIDAS[[#This Row],[High risk (3)]]=1,"■","")</f>
        <v/>
      </c>
      <c r="W49" s="19" t="str">
        <f t="shared" si="1"/>
        <v>1. Sin Riesgo (Verde)</v>
      </c>
      <c r="X49" s="19">
        <f>COUNT(T_MEDIDAS[[#This Row],[Edificios públicos]:[Coordinación]])</f>
        <v>1</v>
      </c>
      <c r="Y49" s="19"/>
      <c r="Z49" s="19" t="str">
        <f>IF(T_MEDIDAS[[#This Row],[Edificios públicos]]=1,"Si","No")</f>
        <v>No</v>
      </c>
      <c r="AA49" s="19"/>
      <c r="AB49" s="19" t="str">
        <f>IF(T_MEDIDAS[[#This Row],[Planificación urbana]]=1,"Si","No")</f>
        <v>No</v>
      </c>
      <c r="AC49" s="19"/>
      <c r="AD49" s="19" t="str">
        <f>IF(T_MEDIDAS[[#This Row],[Cultura y deportes]],"Si","No")</f>
        <v>No</v>
      </c>
      <c r="AE49" s="19"/>
      <c r="AF49" s="19" t="str">
        <f>IF(T_MEDIDAS[[#This Row],[Turismo]],"Si","No")</f>
        <v>No</v>
      </c>
      <c r="AG49" s="19"/>
      <c r="AH49" s="19" t="str">
        <f>IF(T_MEDIDAS[[#This Row],[Riesgos laborales]],"Si","No")</f>
        <v>No</v>
      </c>
      <c r="AI49" s="19"/>
      <c r="AJ49" s="19" t="str">
        <f>IF(T_MEDIDAS[[#This Row],[Educación]],"Si","No")</f>
        <v>No</v>
      </c>
      <c r="AK49" s="19"/>
      <c r="AL49" s="19" t="str">
        <f>IF(T_MEDIDAS[[#This Row],[Servicios sociales]],"Si","No")</f>
        <v>No</v>
      </c>
      <c r="AM49" s="19"/>
      <c r="AN49" s="19" t="str">
        <f>IF(T_MEDIDAS[[#This Row],[Servicios de emergencia y policía]],"Si","No")</f>
        <v>No</v>
      </c>
      <c r="AO49" s="19"/>
      <c r="AP49" s="19" t="str">
        <f>IF(T_MEDIDAS[[#This Row],[Parques y jardines]],"Si","No")</f>
        <v>No</v>
      </c>
      <c r="AQ49" s="19">
        <v>1</v>
      </c>
      <c r="AR49" s="19" t="str">
        <f>IF(T_MEDIDAS[[#This Row],[Transporte]],"Si","No")</f>
        <v>Si</v>
      </c>
      <c r="AS49" s="125"/>
      <c r="AT49" s="1" t="str">
        <f>IF(T_MEDIDAS[[#This Row],[Coordinación]],"Si","No")</f>
        <v>No</v>
      </c>
      <c r="AU49" s="2"/>
      <c r="AV49" s="1"/>
      <c r="AW49" s="1"/>
      <c r="AX49" s="1">
        <v>1</v>
      </c>
      <c r="AY49" s="3">
        <v>1</v>
      </c>
      <c r="AZ49" s="43">
        <f>SUMPRODUCT($AT$15:$AX$15,T_MEDIDAS[[#This Row],[&lt;5.000]:[&gt;100.000]])</f>
        <v>1</v>
      </c>
      <c r="BA49" s="1">
        <v>1</v>
      </c>
      <c r="BB49" s="1">
        <v>1</v>
      </c>
      <c r="BC49" s="1">
        <v>1</v>
      </c>
      <c r="BD49" s="1">
        <v>1</v>
      </c>
      <c r="BE49" s="1">
        <v>1</v>
      </c>
      <c r="BF49" s="1"/>
      <c r="BG49" s="1">
        <v>1</v>
      </c>
      <c r="BH49" s="43" cm="1">
        <f t="array" ref="BH49">SUMPRODUCT(--((T_MEDIDAS[[#This Row],[Centros de salud o asistencia social]:[Escuelas / Centros de educación]] + $AZ$15:$BF$15)&gt;0))</f>
        <v>6</v>
      </c>
      <c r="BI49" s="1">
        <v>2</v>
      </c>
      <c r="BJ49" s="1">
        <v>2</v>
      </c>
      <c r="BK49" s="1">
        <v>2</v>
      </c>
      <c r="BL49" s="1">
        <v>2</v>
      </c>
      <c r="BM49" s="1">
        <v>2</v>
      </c>
      <c r="BN49" s="1">
        <v>1</v>
      </c>
      <c r="BO49" s="1">
        <v>2</v>
      </c>
      <c r="BP49" s="1">
        <v>1</v>
      </c>
      <c r="BQ49" s="47" cm="1">
        <f t="array" ref="BQ49">T_MEDIDAS[[#This Row],[Aplicación tamaño]]*(SUMPRODUCT(T_MEDIDAS[[#This Row],[C1_Refrigeración]:[C8_Tiempo]],TRANSPOSE('2.PONDERACIÓN'!$L$13:$L$20))+(ROW(C49)-ROW($C$18)+1)*0.0000000001)*100</f>
        <v>175.00000032</v>
      </c>
      <c r="BR49" s="84"/>
      <c r="BS49" s="90"/>
    </row>
    <row r="50" spans="1:71" ht="34.5" hidden="1">
      <c r="A50" s="84"/>
      <c r="B50" s="90"/>
      <c r="C50" s="84"/>
      <c r="D50" s="43">
        <f>IF(T_MEDIDAS[[#This Row],[Peso Criterios]]&lt;=0,"",_xlfn.RANK.EQ(T_MEDIDAS[[#This Row],[Peso Criterios]],T_MEDIDAS[Peso Criterios]))</f>
        <v>78</v>
      </c>
      <c r="E50" s="116" t="s">
        <v>219</v>
      </c>
      <c r="F50" s="117" t="s">
        <v>71</v>
      </c>
      <c r="G50" s="117" t="s">
        <v>56</v>
      </c>
      <c r="H50" s="117" t="s">
        <v>171</v>
      </c>
      <c r="I50" s="117" t="s">
        <v>220</v>
      </c>
      <c r="J50" s="117"/>
      <c r="K50" s="120">
        <v>1</v>
      </c>
      <c r="L50" s="19"/>
      <c r="M50" s="19"/>
      <c r="N50" s="121" t="str">
        <f t="shared" ref="N50:N81" si="2">IF(M50&lt;&gt;"","€€€", IF(L50&lt;&gt;"","€€", IF(K50&lt;&gt;"","€","-")))</f>
        <v>€</v>
      </c>
      <c r="O50" s="122">
        <v>1</v>
      </c>
      <c r="P50" s="122">
        <v>1</v>
      </c>
      <c r="Q50" s="20"/>
      <c r="R50" s="122"/>
      <c r="S50" s="34" t="str">
        <f>IF(T_MEDIDAS[[#This Row],[No risk (0)]]=1,"■","")</f>
        <v>■</v>
      </c>
      <c r="T50" s="35" t="str">
        <f>IF(T_MEDIDAS[[#This Row],[Low risk (1)]]=1,"■","")</f>
        <v>■</v>
      </c>
      <c r="U50" s="36" t="str">
        <f>IF(T_MEDIDAS[[#This Row],[Medidaium risk (2)]]=1,"■","")</f>
        <v/>
      </c>
      <c r="V50" s="81" t="str">
        <f>IF(T_MEDIDAS[[#This Row],[High risk (3)]]=1,"■","")</f>
        <v/>
      </c>
      <c r="W50" s="19" t="str">
        <f t="shared" ref="W50:W81" si="3">IF(R50&lt;&gt;"","4. Alto (Rojo)", IF(Q50&lt;&gt;"","3. Medio (Naranja)", IF(P50&lt;&gt;"","2. Bajo (Amarillo)","1. Sin Riesgo (Verde)")))</f>
        <v>2. Bajo (Amarillo)</v>
      </c>
      <c r="X50" s="19">
        <f>COUNT(T_MEDIDAS[[#This Row],[Edificios públicos]:[Coordinación]])</f>
        <v>1</v>
      </c>
      <c r="Y50" s="19"/>
      <c r="Z50" s="19" t="str">
        <f>IF(T_MEDIDAS[[#This Row],[Edificios públicos]]=1,"Si","No")</f>
        <v>No</v>
      </c>
      <c r="AA50" s="19"/>
      <c r="AB50" s="19" t="str">
        <f>IF(T_MEDIDAS[[#This Row],[Planificación urbana]]=1,"Si","No")</f>
        <v>No</v>
      </c>
      <c r="AC50" s="19"/>
      <c r="AD50" s="19" t="str">
        <f>IF(T_MEDIDAS[[#This Row],[Cultura y deportes]],"Si","No")</f>
        <v>No</v>
      </c>
      <c r="AE50" s="19"/>
      <c r="AF50" s="19" t="str">
        <f>IF(T_MEDIDAS[[#This Row],[Turismo]],"Si","No")</f>
        <v>No</v>
      </c>
      <c r="AG50" s="19"/>
      <c r="AH50" s="19" t="str">
        <f>IF(T_MEDIDAS[[#This Row],[Riesgos laborales]],"Si","No")</f>
        <v>No</v>
      </c>
      <c r="AI50" s="19"/>
      <c r="AJ50" s="19" t="str">
        <f>IF(T_MEDIDAS[[#This Row],[Educación]],"Si","No")</f>
        <v>No</v>
      </c>
      <c r="AK50" s="19"/>
      <c r="AL50" s="19" t="str">
        <f>IF(T_MEDIDAS[[#This Row],[Servicios sociales]],"Si","No")</f>
        <v>No</v>
      </c>
      <c r="AM50" s="19"/>
      <c r="AN50" s="19" t="str">
        <f>IF(T_MEDIDAS[[#This Row],[Servicios de emergencia y policía]],"Si","No")</f>
        <v>No</v>
      </c>
      <c r="AO50" s="19"/>
      <c r="AP50" s="19" t="str">
        <f>IF(T_MEDIDAS[[#This Row],[Parques y jardines]],"Si","No")</f>
        <v>No</v>
      </c>
      <c r="AQ50" s="19">
        <v>1</v>
      </c>
      <c r="AR50" s="19" t="str">
        <f>IF(T_MEDIDAS[[#This Row],[Transporte]],"Si","No")</f>
        <v>Si</v>
      </c>
      <c r="AS50" s="125"/>
      <c r="AT50" s="1" t="str">
        <f>IF(T_MEDIDAS[[#This Row],[Coordinación]],"Si","No")</f>
        <v>No</v>
      </c>
      <c r="AU50" s="2"/>
      <c r="AV50" s="1"/>
      <c r="AW50" s="1"/>
      <c r="AX50" s="1">
        <v>1</v>
      </c>
      <c r="AY50" s="3">
        <v>1</v>
      </c>
      <c r="AZ50" s="43">
        <f>SUMPRODUCT($AT$15:$AX$15,T_MEDIDAS[[#This Row],[&lt;5.000]:[&gt;100.000]])</f>
        <v>1</v>
      </c>
      <c r="BA50" s="1">
        <v>1</v>
      </c>
      <c r="BB50" s="1">
        <v>1</v>
      </c>
      <c r="BC50" s="1">
        <v>1</v>
      </c>
      <c r="BD50" s="1">
        <v>1</v>
      </c>
      <c r="BE50" s="1">
        <v>1</v>
      </c>
      <c r="BF50" s="1"/>
      <c r="BG50" s="1">
        <v>1</v>
      </c>
      <c r="BH50" s="43" cm="1">
        <f t="array" ref="BH50">SUMPRODUCT(--((T_MEDIDAS[[#This Row],[Centros de salud o asistencia social]:[Escuelas / Centros de educación]] + $AZ$15:$BF$15)&gt;0))</f>
        <v>6</v>
      </c>
      <c r="BI50" s="44">
        <v>0</v>
      </c>
      <c r="BJ50" s="44">
        <v>0</v>
      </c>
      <c r="BK50" s="44">
        <v>2</v>
      </c>
      <c r="BL50" s="44">
        <v>2</v>
      </c>
      <c r="BM50" s="44">
        <v>3</v>
      </c>
      <c r="BN50" s="44">
        <v>2</v>
      </c>
      <c r="BO50" s="44">
        <v>3</v>
      </c>
      <c r="BP50" s="44">
        <v>3</v>
      </c>
      <c r="BQ50" s="47" cm="1">
        <f t="array" ref="BQ50">T_MEDIDAS[[#This Row],[Aplicación tamaño]]*(SUMPRODUCT(T_MEDIDAS[[#This Row],[C1_Refrigeración]:[C8_Tiempo]],TRANSPOSE('2.PONDERACIÓN'!$L$13:$L$20))+(ROW(C50)-ROW($C$18)+1)*0.0000000001)*100</f>
        <v>187.50000033000001</v>
      </c>
      <c r="BR50" s="84"/>
      <c r="BS50" s="90"/>
    </row>
    <row r="51" spans="1:71" ht="34.5" hidden="1">
      <c r="A51" s="84"/>
      <c r="B51" s="90"/>
      <c r="C51" s="84"/>
      <c r="D51" s="43">
        <f>IF(T_MEDIDAS[[#This Row],[Peso Criterios]]&lt;=0,"",_xlfn.RANK.EQ(T_MEDIDAS[[#This Row],[Peso Criterios]],T_MEDIDAS[Peso Criterios]))</f>
        <v>94</v>
      </c>
      <c r="E51" s="116" t="s">
        <v>221</v>
      </c>
      <c r="F51" s="117" t="s">
        <v>71</v>
      </c>
      <c r="G51" s="117" t="s">
        <v>53</v>
      </c>
      <c r="H51" s="117" t="s">
        <v>222</v>
      </c>
      <c r="I51" s="126" t="s">
        <v>223</v>
      </c>
      <c r="J51" s="126"/>
      <c r="K51" s="120"/>
      <c r="L51" s="19">
        <v>1</v>
      </c>
      <c r="M51" s="19">
        <v>1</v>
      </c>
      <c r="N51" s="121" t="str">
        <f t="shared" si="2"/>
        <v>€€€</v>
      </c>
      <c r="O51" s="122">
        <v>1</v>
      </c>
      <c r="P51" s="122"/>
      <c r="Q51" s="20"/>
      <c r="R51" s="122"/>
      <c r="S51" s="34" t="str">
        <f>IF(T_MEDIDAS[[#This Row],[No risk (0)]]=1,"■","")</f>
        <v>■</v>
      </c>
      <c r="T51" s="35" t="str">
        <f>IF(T_MEDIDAS[[#This Row],[Low risk (1)]]=1,"■","")</f>
        <v/>
      </c>
      <c r="U51" s="36" t="str">
        <f>IF(T_MEDIDAS[[#This Row],[Medidaium risk (2)]]=1,"■","")</f>
        <v/>
      </c>
      <c r="V51" s="81" t="str">
        <f>IF(T_MEDIDAS[[#This Row],[High risk (3)]]=1,"■","")</f>
        <v/>
      </c>
      <c r="W51" s="19" t="str">
        <f t="shared" si="3"/>
        <v>1. Sin Riesgo (Verde)</v>
      </c>
      <c r="X51" s="19">
        <f>COUNT(T_MEDIDAS[[#This Row],[Edificios públicos]:[Coordinación]])</f>
        <v>2</v>
      </c>
      <c r="Y51" s="19"/>
      <c r="Z51" s="19" t="str">
        <f>IF(T_MEDIDAS[[#This Row],[Edificios públicos]]=1,"Si","No")</f>
        <v>No</v>
      </c>
      <c r="AA51" s="19">
        <v>1</v>
      </c>
      <c r="AB51" s="19" t="str">
        <f>IF(T_MEDIDAS[[#This Row],[Planificación urbana]]=1,"Si","No")</f>
        <v>Si</v>
      </c>
      <c r="AC51" s="19"/>
      <c r="AD51" s="19" t="str">
        <f>IF(T_MEDIDAS[[#This Row],[Cultura y deportes]],"Si","No")</f>
        <v>No</v>
      </c>
      <c r="AE51" s="19"/>
      <c r="AF51" s="19" t="str">
        <f>IF(T_MEDIDAS[[#This Row],[Turismo]],"Si","No")</f>
        <v>No</v>
      </c>
      <c r="AG51" s="19"/>
      <c r="AH51" s="19" t="str">
        <f>IF(T_MEDIDAS[[#This Row],[Riesgos laborales]],"Si","No")</f>
        <v>No</v>
      </c>
      <c r="AI51" s="19"/>
      <c r="AJ51" s="19" t="str">
        <f>IF(T_MEDIDAS[[#This Row],[Educación]],"Si","No")</f>
        <v>No</v>
      </c>
      <c r="AK51" s="19">
        <v>1</v>
      </c>
      <c r="AL51" s="19" t="str">
        <f>IF(T_MEDIDAS[[#This Row],[Servicios sociales]],"Si","No")</f>
        <v>Si</v>
      </c>
      <c r="AM51" s="19"/>
      <c r="AN51" s="19" t="str">
        <f>IF(T_MEDIDAS[[#This Row],[Servicios de emergencia y policía]],"Si","No")</f>
        <v>No</v>
      </c>
      <c r="AO51" s="19"/>
      <c r="AP51" s="19" t="str">
        <f>IF(T_MEDIDAS[[#This Row],[Parques y jardines]],"Si","No")</f>
        <v>No</v>
      </c>
      <c r="AQ51" s="19"/>
      <c r="AR51" s="19" t="str">
        <f>IF(T_MEDIDAS[[#This Row],[Transporte]],"Si","No")</f>
        <v>No</v>
      </c>
      <c r="AS51" s="125"/>
      <c r="AT51" s="1" t="str">
        <f>IF(T_MEDIDAS[[#This Row],[Coordinación]],"Si","No")</f>
        <v>No</v>
      </c>
      <c r="AU51" s="2"/>
      <c r="AV51" s="1"/>
      <c r="AW51" s="1">
        <v>1</v>
      </c>
      <c r="AX51" s="1">
        <v>1</v>
      </c>
      <c r="AY51" s="3">
        <v>1</v>
      </c>
      <c r="AZ51" s="43">
        <f>SUMPRODUCT($AT$15:$AX$15,T_MEDIDAS[[#This Row],[&lt;5.000]:[&gt;100.000]])</f>
        <v>1</v>
      </c>
      <c r="BA51" s="1">
        <v>1</v>
      </c>
      <c r="BB51" s="1">
        <v>1</v>
      </c>
      <c r="BC51" s="1">
        <v>1</v>
      </c>
      <c r="BD51" s="1">
        <v>1</v>
      </c>
      <c r="BE51" s="1">
        <v>1</v>
      </c>
      <c r="BF51" s="1">
        <v>1</v>
      </c>
      <c r="BG51" s="1">
        <v>1</v>
      </c>
      <c r="BH51" s="43" cm="1">
        <f t="array" ref="BH51">SUMPRODUCT(--((T_MEDIDAS[[#This Row],[Centros de salud o asistencia social]:[Escuelas / Centros de educación]] + $AZ$15:$BF$15)&gt;0))</f>
        <v>7</v>
      </c>
      <c r="BI51" s="1">
        <v>0</v>
      </c>
      <c r="BJ51" s="1">
        <v>0</v>
      </c>
      <c r="BK51" s="1">
        <v>3</v>
      </c>
      <c r="BL51" s="1">
        <v>2</v>
      </c>
      <c r="BM51" s="1">
        <v>3</v>
      </c>
      <c r="BN51" s="1">
        <v>2</v>
      </c>
      <c r="BO51" s="1">
        <v>2</v>
      </c>
      <c r="BP51" s="1">
        <v>2</v>
      </c>
      <c r="BQ51" s="47" cm="1">
        <f t="array" ref="BQ51">T_MEDIDAS[[#This Row],[Aplicación tamaño]]*(SUMPRODUCT(T_MEDIDAS[[#This Row],[C1_Refrigeración]:[C8_Tiempo]],TRANSPOSE('2.PONDERACIÓN'!$L$13:$L$20))+(ROW(C51)-ROW($C$18)+1)*0.0000000001)*100</f>
        <v>175.00000034000001</v>
      </c>
      <c r="BR51" s="84"/>
      <c r="BS51" s="90"/>
    </row>
    <row r="52" spans="1:71" ht="34.5" hidden="1">
      <c r="A52" s="84"/>
      <c r="B52" s="90"/>
      <c r="C52" s="84"/>
      <c r="D52" s="43">
        <f>IF(T_MEDIDAS[[#This Row],[Peso Criterios]]&lt;=0,"",_xlfn.RANK.EQ(T_MEDIDAS[[#This Row],[Peso Criterios]],T_MEDIDAS[Peso Criterios]))</f>
        <v>93</v>
      </c>
      <c r="E52" s="116" t="s">
        <v>224</v>
      </c>
      <c r="F52" s="117" t="s">
        <v>71</v>
      </c>
      <c r="G52" s="117" t="s">
        <v>56</v>
      </c>
      <c r="H52" s="117" t="s">
        <v>171</v>
      </c>
      <c r="I52" s="126" t="s">
        <v>225</v>
      </c>
      <c r="J52" s="126"/>
      <c r="K52" s="120">
        <v>1</v>
      </c>
      <c r="L52" s="19"/>
      <c r="M52" s="19"/>
      <c r="N52" s="121" t="str">
        <f t="shared" si="2"/>
        <v>€</v>
      </c>
      <c r="O52" s="122">
        <v>1</v>
      </c>
      <c r="P52" s="122"/>
      <c r="Q52" s="20"/>
      <c r="R52" s="122"/>
      <c r="S52" s="34" t="str">
        <f>IF(T_MEDIDAS[[#This Row],[No risk (0)]]=1,"■","")</f>
        <v>■</v>
      </c>
      <c r="T52" s="35" t="str">
        <f>IF(T_MEDIDAS[[#This Row],[Low risk (1)]]=1,"■","")</f>
        <v/>
      </c>
      <c r="U52" s="36" t="str">
        <f>IF(T_MEDIDAS[[#This Row],[Medidaium risk (2)]]=1,"■","")</f>
        <v/>
      </c>
      <c r="V52" s="81" t="str">
        <f>IF(T_MEDIDAS[[#This Row],[High risk (3)]]=1,"■","")</f>
        <v/>
      </c>
      <c r="W52" s="19" t="str">
        <f t="shared" si="3"/>
        <v>1. Sin Riesgo (Verde)</v>
      </c>
      <c r="X52" s="19">
        <f>COUNT(T_MEDIDAS[[#This Row],[Edificios públicos]:[Coordinación]])</f>
        <v>1</v>
      </c>
      <c r="Y52" s="19"/>
      <c r="Z52" s="19" t="str">
        <f>IF(T_MEDIDAS[[#This Row],[Edificios públicos]]=1,"Si","No")</f>
        <v>No</v>
      </c>
      <c r="AA52" s="19"/>
      <c r="AB52" s="19" t="str">
        <f>IF(T_MEDIDAS[[#This Row],[Planificación urbana]]=1,"Si","No")</f>
        <v>No</v>
      </c>
      <c r="AC52" s="19"/>
      <c r="AD52" s="19" t="str">
        <f>IF(T_MEDIDAS[[#This Row],[Cultura y deportes]],"Si","No")</f>
        <v>No</v>
      </c>
      <c r="AE52" s="19"/>
      <c r="AF52" s="19" t="str">
        <f>IF(T_MEDIDAS[[#This Row],[Turismo]],"Si","No")</f>
        <v>No</v>
      </c>
      <c r="AG52" s="19"/>
      <c r="AH52" s="19" t="str">
        <f>IF(T_MEDIDAS[[#This Row],[Riesgos laborales]],"Si","No")</f>
        <v>No</v>
      </c>
      <c r="AI52" s="19"/>
      <c r="AJ52" s="19" t="str">
        <f>IF(T_MEDIDAS[[#This Row],[Educación]],"Si","No")</f>
        <v>No</v>
      </c>
      <c r="AK52" s="19">
        <v>1</v>
      </c>
      <c r="AL52" s="19" t="str">
        <f>IF(T_MEDIDAS[[#This Row],[Servicios sociales]],"Si","No")</f>
        <v>Si</v>
      </c>
      <c r="AM52" s="19"/>
      <c r="AN52" s="19" t="str">
        <f>IF(T_MEDIDAS[[#This Row],[Servicios de emergencia y policía]],"Si","No")</f>
        <v>No</v>
      </c>
      <c r="AO52" s="19"/>
      <c r="AP52" s="19" t="str">
        <f>IF(T_MEDIDAS[[#This Row],[Parques y jardines]],"Si","No")</f>
        <v>No</v>
      </c>
      <c r="AQ52" s="19"/>
      <c r="AR52" s="19" t="str">
        <f>IF(T_MEDIDAS[[#This Row],[Transporte]],"Si","No")</f>
        <v>No</v>
      </c>
      <c r="AS52" s="125"/>
      <c r="AT52" s="1" t="str">
        <f>IF(T_MEDIDAS[[#This Row],[Coordinación]],"Si","No")</f>
        <v>No</v>
      </c>
      <c r="AU52" s="2"/>
      <c r="AV52" s="1"/>
      <c r="AW52" s="1"/>
      <c r="AX52" s="1">
        <v>1</v>
      </c>
      <c r="AY52" s="3">
        <v>1</v>
      </c>
      <c r="AZ52" s="43">
        <f>SUMPRODUCT($AT$15:$AX$15,T_MEDIDAS[[#This Row],[&lt;5.000]:[&gt;100.000]])</f>
        <v>1</v>
      </c>
      <c r="BA52" s="1">
        <v>1</v>
      </c>
      <c r="BB52" s="1">
        <v>1</v>
      </c>
      <c r="BC52" s="1">
        <v>1</v>
      </c>
      <c r="BD52" s="1">
        <v>1</v>
      </c>
      <c r="BE52" s="1">
        <v>1</v>
      </c>
      <c r="BF52" s="1">
        <v>1</v>
      </c>
      <c r="BG52" s="1">
        <v>1</v>
      </c>
      <c r="BH52" s="43" cm="1">
        <f t="array" ref="BH52">SUMPRODUCT(--((T_MEDIDAS[[#This Row],[Centros de salud o asistencia social]:[Escuelas / Centros de educación]] + $AZ$15:$BF$15)&gt;0))</f>
        <v>7</v>
      </c>
      <c r="BI52" s="44">
        <v>0</v>
      </c>
      <c r="BJ52" s="44">
        <v>0</v>
      </c>
      <c r="BK52" s="44">
        <v>3</v>
      </c>
      <c r="BL52" s="44">
        <v>2</v>
      </c>
      <c r="BM52" s="44">
        <v>3</v>
      </c>
      <c r="BN52" s="44">
        <v>2</v>
      </c>
      <c r="BO52" s="44">
        <v>2</v>
      </c>
      <c r="BP52" s="44">
        <v>2</v>
      </c>
      <c r="BQ52" s="47" cm="1">
        <f t="array" ref="BQ52">T_MEDIDAS[[#This Row],[Aplicación tamaño]]*(SUMPRODUCT(T_MEDIDAS[[#This Row],[C1_Refrigeración]:[C8_Tiempo]],TRANSPOSE('2.PONDERACIÓN'!$L$13:$L$20))+(ROW(C52)-ROW($C$18)+1)*0.0000000001)*100</f>
        <v>175.00000034999999</v>
      </c>
      <c r="BR52" s="84"/>
      <c r="BS52" s="90"/>
    </row>
    <row r="53" spans="1:71" ht="34.5" hidden="1">
      <c r="A53" s="84"/>
      <c r="B53" s="90"/>
      <c r="C53" s="84"/>
      <c r="D53" s="43">
        <f>IF(T_MEDIDAS[[#This Row],[Peso Criterios]]&lt;=0,"",_xlfn.RANK.EQ(T_MEDIDAS[[#This Row],[Peso Criterios]],T_MEDIDAS[Peso Criterios]))</f>
        <v>116</v>
      </c>
      <c r="E53" s="116" t="s">
        <v>226</v>
      </c>
      <c r="F53" s="117" t="s">
        <v>71</v>
      </c>
      <c r="G53" s="117" t="s">
        <v>50</v>
      </c>
      <c r="H53" s="117" t="s">
        <v>160</v>
      </c>
      <c r="I53" s="126" t="s">
        <v>227</v>
      </c>
      <c r="J53" s="126"/>
      <c r="K53" s="120">
        <v>1</v>
      </c>
      <c r="L53" s="19">
        <v>1</v>
      </c>
      <c r="M53" s="19"/>
      <c r="N53" s="121" t="str">
        <f t="shared" si="2"/>
        <v>€€</v>
      </c>
      <c r="O53" s="122">
        <v>1</v>
      </c>
      <c r="P53" s="122"/>
      <c r="Q53" s="20"/>
      <c r="R53" s="122"/>
      <c r="S53" s="34" t="str">
        <f>IF(T_MEDIDAS[[#This Row],[No risk (0)]]=1,"■","")</f>
        <v>■</v>
      </c>
      <c r="T53" s="35" t="str">
        <f>IF(T_MEDIDAS[[#This Row],[Low risk (1)]]=1,"■","")</f>
        <v/>
      </c>
      <c r="U53" s="36" t="str">
        <f>IF(T_MEDIDAS[[#This Row],[Medidaium risk (2)]]=1,"■","")</f>
        <v/>
      </c>
      <c r="V53" s="81" t="str">
        <f>IF(T_MEDIDAS[[#This Row],[High risk (3)]]=1,"■","")</f>
        <v/>
      </c>
      <c r="W53" s="19" t="str">
        <f t="shared" si="3"/>
        <v>1. Sin Riesgo (Verde)</v>
      </c>
      <c r="X53" s="19">
        <f>COUNT(T_MEDIDAS[[#This Row],[Edificios públicos]:[Coordinación]])</f>
        <v>1</v>
      </c>
      <c r="Y53" s="19"/>
      <c r="Z53" s="19" t="str">
        <f>IF(T_MEDIDAS[[#This Row],[Edificios públicos]]=1,"Si","No")</f>
        <v>No</v>
      </c>
      <c r="AA53" s="19">
        <v>1</v>
      </c>
      <c r="AB53" s="19" t="str">
        <f>IF(T_MEDIDAS[[#This Row],[Planificación urbana]]=1,"Si","No")</f>
        <v>Si</v>
      </c>
      <c r="AC53" s="19"/>
      <c r="AD53" s="19" t="str">
        <f>IF(T_MEDIDAS[[#This Row],[Cultura y deportes]],"Si","No")</f>
        <v>No</v>
      </c>
      <c r="AE53" s="19"/>
      <c r="AF53" s="19" t="str">
        <f>IF(T_MEDIDAS[[#This Row],[Turismo]],"Si","No")</f>
        <v>No</v>
      </c>
      <c r="AG53" s="19"/>
      <c r="AH53" s="19" t="str">
        <f>IF(T_MEDIDAS[[#This Row],[Riesgos laborales]],"Si","No")</f>
        <v>No</v>
      </c>
      <c r="AI53" s="19"/>
      <c r="AJ53" s="19" t="str">
        <f>IF(T_MEDIDAS[[#This Row],[Educación]],"Si","No")</f>
        <v>No</v>
      </c>
      <c r="AK53" s="19"/>
      <c r="AL53" s="19" t="str">
        <f>IF(T_MEDIDAS[[#This Row],[Servicios sociales]],"Si","No")</f>
        <v>No</v>
      </c>
      <c r="AM53" s="19"/>
      <c r="AN53" s="19" t="str">
        <f>IF(T_MEDIDAS[[#This Row],[Servicios de emergencia y policía]],"Si","No")</f>
        <v>No</v>
      </c>
      <c r="AO53" s="19"/>
      <c r="AP53" s="19" t="str">
        <f>IF(T_MEDIDAS[[#This Row],[Parques y jardines]],"Si","No")</f>
        <v>No</v>
      </c>
      <c r="AQ53" s="19"/>
      <c r="AR53" s="19" t="str">
        <f>IF(T_MEDIDAS[[#This Row],[Transporte]],"Si","No")</f>
        <v>No</v>
      </c>
      <c r="AS53" s="125"/>
      <c r="AT53" s="1" t="str">
        <f>IF(T_MEDIDAS[[#This Row],[Coordinación]],"Si","No")</f>
        <v>No</v>
      </c>
      <c r="AU53" s="2"/>
      <c r="AV53" s="1"/>
      <c r="AW53" s="1"/>
      <c r="AX53" s="1">
        <v>1</v>
      </c>
      <c r="AY53" s="3">
        <v>1</v>
      </c>
      <c r="AZ53" s="43">
        <f>SUMPRODUCT($AT$15:$AX$15,T_MEDIDAS[[#This Row],[&lt;5.000]:[&gt;100.000]])</f>
        <v>1</v>
      </c>
      <c r="BA53" s="1">
        <v>1</v>
      </c>
      <c r="BB53" s="1">
        <v>1</v>
      </c>
      <c r="BC53" s="1">
        <v>1</v>
      </c>
      <c r="BD53" s="1">
        <v>1</v>
      </c>
      <c r="BE53" s="1">
        <v>1</v>
      </c>
      <c r="BF53" s="1">
        <v>1</v>
      </c>
      <c r="BG53" s="1">
        <v>1</v>
      </c>
      <c r="BH53" s="43" cm="1">
        <f t="array" ref="BH53">SUMPRODUCT(--((T_MEDIDAS[[#This Row],[Centros de salud o asistencia social]:[Escuelas / Centros de educación]] + $AZ$15:$BF$15)&gt;0))</f>
        <v>7</v>
      </c>
      <c r="BI53" s="1">
        <v>0</v>
      </c>
      <c r="BJ53" s="1">
        <v>0</v>
      </c>
      <c r="BK53" s="1">
        <v>1</v>
      </c>
      <c r="BL53" s="1">
        <v>1</v>
      </c>
      <c r="BM53" s="1">
        <v>3</v>
      </c>
      <c r="BN53" s="1">
        <v>2</v>
      </c>
      <c r="BO53" s="1">
        <v>3</v>
      </c>
      <c r="BP53" s="1">
        <v>3</v>
      </c>
      <c r="BQ53" s="47" cm="1">
        <f t="array" ref="BQ53">T_MEDIDAS[[#This Row],[Aplicación tamaño]]*(SUMPRODUCT(T_MEDIDAS[[#This Row],[C1_Refrigeración]:[C8_Tiempo]],TRANSPOSE('2.PONDERACIÓN'!$L$13:$L$20))+(ROW(C53)-ROW($C$18)+1)*0.0000000001)*100</f>
        <v>162.50000036</v>
      </c>
      <c r="BR53" s="84"/>
      <c r="BS53" s="90"/>
    </row>
    <row r="54" spans="1:71" ht="34.5" hidden="1">
      <c r="A54" s="84"/>
      <c r="B54" s="90"/>
      <c r="C54" s="84"/>
      <c r="D54" s="43">
        <f>IF(T_MEDIDAS[[#This Row],[Peso Criterios]]&lt;=0,"",_xlfn.RANK.EQ(T_MEDIDAS[[#This Row],[Peso Criterios]],T_MEDIDAS[Peso Criterios]))</f>
        <v>92</v>
      </c>
      <c r="E54" s="116" t="s">
        <v>228</v>
      </c>
      <c r="F54" s="126" t="s">
        <v>71</v>
      </c>
      <c r="G54" s="126" t="s">
        <v>56</v>
      </c>
      <c r="H54" s="126" t="s">
        <v>171</v>
      </c>
      <c r="I54" s="126" t="s">
        <v>229</v>
      </c>
      <c r="J54" s="126"/>
      <c r="K54" s="120">
        <v>1</v>
      </c>
      <c r="L54" s="19"/>
      <c r="M54" s="19"/>
      <c r="N54" s="121" t="str">
        <f t="shared" si="2"/>
        <v>€</v>
      </c>
      <c r="O54" s="122">
        <v>1</v>
      </c>
      <c r="P54" s="122"/>
      <c r="Q54" s="20"/>
      <c r="R54" s="122"/>
      <c r="S54" s="34" t="str">
        <f>IF(T_MEDIDAS[[#This Row],[No risk (0)]]=1,"■","")</f>
        <v>■</v>
      </c>
      <c r="T54" s="35" t="str">
        <f>IF(T_MEDIDAS[[#This Row],[Low risk (1)]]=1,"■","")</f>
        <v/>
      </c>
      <c r="U54" s="36" t="str">
        <f>IF(T_MEDIDAS[[#This Row],[Medidaium risk (2)]]=1,"■","")</f>
        <v/>
      </c>
      <c r="V54" s="81" t="str">
        <f>IF(T_MEDIDAS[[#This Row],[High risk (3)]]=1,"■","")</f>
        <v/>
      </c>
      <c r="W54" s="19" t="str">
        <f t="shared" si="3"/>
        <v>1. Sin Riesgo (Verde)</v>
      </c>
      <c r="X54" s="19">
        <f>COUNT(T_MEDIDAS[[#This Row],[Edificios públicos]:[Coordinación]])</f>
        <v>2</v>
      </c>
      <c r="Y54" s="19"/>
      <c r="Z54" s="19" t="str">
        <f>IF(T_MEDIDAS[[#This Row],[Edificios públicos]]=1,"Si","No")</f>
        <v>No</v>
      </c>
      <c r="AA54" s="19"/>
      <c r="AB54" s="19" t="str">
        <f>IF(T_MEDIDAS[[#This Row],[Planificación urbana]]=1,"Si","No")</f>
        <v>No</v>
      </c>
      <c r="AC54" s="19">
        <v>1</v>
      </c>
      <c r="AD54" s="19" t="str">
        <f>IF(T_MEDIDAS[[#This Row],[Cultura y deportes]],"Si","No")</f>
        <v>Si</v>
      </c>
      <c r="AE54" s="19">
        <v>1</v>
      </c>
      <c r="AF54" s="19" t="str">
        <f>IF(T_MEDIDAS[[#This Row],[Turismo]],"Si","No")</f>
        <v>Si</v>
      </c>
      <c r="AG54" s="19"/>
      <c r="AH54" s="19" t="str">
        <f>IF(T_MEDIDAS[[#This Row],[Riesgos laborales]],"Si","No")</f>
        <v>No</v>
      </c>
      <c r="AI54" s="19"/>
      <c r="AJ54" s="19" t="str">
        <f>IF(T_MEDIDAS[[#This Row],[Educación]],"Si","No")</f>
        <v>No</v>
      </c>
      <c r="AK54" s="19"/>
      <c r="AL54" s="19" t="str">
        <f>IF(T_MEDIDAS[[#This Row],[Servicios sociales]],"Si","No")</f>
        <v>No</v>
      </c>
      <c r="AM54" s="19"/>
      <c r="AN54" s="19" t="str">
        <f>IF(T_MEDIDAS[[#This Row],[Servicios de emergencia y policía]],"Si","No")</f>
        <v>No</v>
      </c>
      <c r="AO54" s="19"/>
      <c r="AP54" s="19" t="str">
        <f>IF(T_MEDIDAS[[#This Row],[Parques y jardines]],"Si","No")</f>
        <v>No</v>
      </c>
      <c r="AQ54" s="19"/>
      <c r="AR54" s="19" t="str">
        <f>IF(T_MEDIDAS[[#This Row],[Transporte]],"Si","No")</f>
        <v>No</v>
      </c>
      <c r="AS54" s="125"/>
      <c r="AT54" s="1" t="str">
        <f>IF(T_MEDIDAS[[#This Row],[Coordinación]],"Si","No")</f>
        <v>No</v>
      </c>
      <c r="AU54" s="2">
        <v>1</v>
      </c>
      <c r="AV54" s="1">
        <v>1</v>
      </c>
      <c r="AW54" s="1">
        <v>1</v>
      </c>
      <c r="AX54" s="1">
        <v>1</v>
      </c>
      <c r="AY54" s="3">
        <v>1</v>
      </c>
      <c r="AZ54" s="43">
        <f>SUMPRODUCT($AT$15:$AX$15,T_MEDIDAS[[#This Row],[&lt;5.000]:[&gt;100.000]])</f>
        <v>1</v>
      </c>
      <c r="BA54" s="1">
        <v>1</v>
      </c>
      <c r="BB54" s="1">
        <v>1</v>
      </c>
      <c r="BC54" s="1">
        <v>1</v>
      </c>
      <c r="BD54" s="1">
        <v>1</v>
      </c>
      <c r="BE54" s="1">
        <v>1</v>
      </c>
      <c r="BF54" s="1">
        <v>1</v>
      </c>
      <c r="BG54" s="1">
        <v>1</v>
      </c>
      <c r="BH54" s="43" cm="1">
        <f t="array" ref="BH54">SUMPRODUCT(--((T_MEDIDAS[[#This Row],[Centros de salud o asistencia social]:[Escuelas / Centros de educación]] + $AZ$15:$BF$15)&gt;0))</f>
        <v>7</v>
      </c>
      <c r="BI54" s="44">
        <v>0</v>
      </c>
      <c r="BJ54" s="44">
        <v>0</v>
      </c>
      <c r="BK54" s="44">
        <v>1</v>
      </c>
      <c r="BL54" s="44">
        <v>2</v>
      </c>
      <c r="BM54" s="44">
        <v>3</v>
      </c>
      <c r="BN54" s="44">
        <v>2</v>
      </c>
      <c r="BO54" s="44">
        <v>3</v>
      </c>
      <c r="BP54" s="44">
        <v>3</v>
      </c>
      <c r="BQ54" s="47" cm="1">
        <f t="array" ref="BQ54">T_MEDIDAS[[#This Row],[Aplicación tamaño]]*(SUMPRODUCT(T_MEDIDAS[[#This Row],[C1_Refrigeración]:[C8_Tiempo]],TRANSPOSE('2.PONDERACIÓN'!$L$13:$L$20))+(ROW(C54)-ROW($C$18)+1)*0.0000000001)*100</f>
        <v>175.00000037000001</v>
      </c>
      <c r="BR54" s="84"/>
      <c r="BS54" s="90"/>
    </row>
    <row r="55" spans="1:71" ht="43.5" hidden="1">
      <c r="A55" s="84"/>
      <c r="B55" s="90"/>
      <c r="C55" s="84"/>
      <c r="D55" s="43">
        <f>IF(T_MEDIDAS[[#This Row],[Peso Criterios]]&lt;=0,"",_xlfn.RANK.EQ(T_MEDIDAS[[#This Row],[Peso Criterios]],T_MEDIDAS[Peso Criterios]))</f>
        <v>91</v>
      </c>
      <c r="E55" s="116" t="s">
        <v>230</v>
      </c>
      <c r="F55" s="126" t="s">
        <v>71</v>
      </c>
      <c r="G55" s="126" t="s">
        <v>56</v>
      </c>
      <c r="H55" s="126" t="s">
        <v>171</v>
      </c>
      <c r="I55" s="126" t="s">
        <v>231</v>
      </c>
      <c r="J55" s="126"/>
      <c r="K55" s="120">
        <v>1</v>
      </c>
      <c r="L55" s="19"/>
      <c r="M55" s="19"/>
      <c r="N55" s="121" t="str">
        <f t="shared" si="2"/>
        <v>€</v>
      </c>
      <c r="O55" s="122">
        <v>1</v>
      </c>
      <c r="P55" s="122"/>
      <c r="Q55" s="20"/>
      <c r="R55" s="122"/>
      <c r="S55" s="34" t="str">
        <f>IF(T_MEDIDAS[[#This Row],[No risk (0)]]=1,"■","")</f>
        <v>■</v>
      </c>
      <c r="T55" s="35" t="str">
        <f>IF(T_MEDIDAS[[#This Row],[Low risk (1)]]=1,"■","")</f>
        <v/>
      </c>
      <c r="U55" s="36" t="str">
        <f>IF(T_MEDIDAS[[#This Row],[Medidaium risk (2)]]=1,"■","")</f>
        <v/>
      </c>
      <c r="V55" s="81" t="str">
        <f>IF(T_MEDIDAS[[#This Row],[High risk (3)]]=1,"■","")</f>
        <v/>
      </c>
      <c r="W55" s="19" t="str">
        <f t="shared" si="3"/>
        <v>1. Sin Riesgo (Verde)</v>
      </c>
      <c r="X55" s="19">
        <f>COUNT(T_MEDIDAS[[#This Row],[Edificios públicos]:[Coordinación]])</f>
        <v>4</v>
      </c>
      <c r="Y55" s="19">
        <v>1</v>
      </c>
      <c r="Z55" s="19" t="str">
        <f>IF(T_MEDIDAS[[#This Row],[Edificios públicos]]=1,"Si","No")</f>
        <v>Si</v>
      </c>
      <c r="AA55" s="19"/>
      <c r="AB55" s="19" t="str">
        <f>IF(T_MEDIDAS[[#This Row],[Planificación urbana]]=1,"Si","No")</f>
        <v>No</v>
      </c>
      <c r="AC55" s="19">
        <v>1</v>
      </c>
      <c r="AD55" s="19" t="str">
        <f>IF(T_MEDIDAS[[#This Row],[Cultura y deportes]],"Si","No")</f>
        <v>Si</v>
      </c>
      <c r="AE55" s="19"/>
      <c r="AF55" s="19" t="str">
        <f>IF(T_MEDIDAS[[#This Row],[Turismo]],"Si","No")</f>
        <v>No</v>
      </c>
      <c r="AG55" s="19"/>
      <c r="AH55" s="19" t="str">
        <f>IF(T_MEDIDAS[[#This Row],[Riesgos laborales]],"Si","No")</f>
        <v>No</v>
      </c>
      <c r="AI55" s="19">
        <v>1</v>
      </c>
      <c r="AJ55" s="19" t="str">
        <f>IF(T_MEDIDAS[[#This Row],[Educación]],"Si","No")</f>
        <v>Si</v>
      </c>
      <c r="AK55" s="19">
        <v>1</v>
      </c>
      <c r="AL55" s="19" t="str">
        <f>IF(T_MEDIDAS[[#This Row],[Servicios sociales]],"Si","No")</f>
        <v>Si</v>
      </c>
      <c r="AM55" s="19"/>
      <c r="AN55" s="19" t="str">
        <f>IF(T_MEDIDAS[[#This Row],[Servicios de emergencia y policía]],"Si","No")</f>
        <v>No</v>
      </c>
      <c r="AO55" s="19"/>
      <c r="AP55" s="19" t="str">
        <f>IF(T_MEDIDAS[[#This Row],[Parques y jardines]],"Si","No")</f>
        <v>No</v>
      </c>
      <c r="AQ55" s="19"/>
      <c r="AR55" s="19" t="str">
        <f>IF(T_MEDIDAS[[#This Row],[Transporte]],"Si","No")</f>
        <v>No</v>
      </c>
      <c r="AS55" s="125"/>
      <c r="AT55" s="1" t="str">
        <f>IF(T_MEDIDAS[[#This Row],[Coordinación]],"Si","No")</f>
        <v>No</v>
      </c>
      <c r="AU55" s="2">
        <v>1</v>
      </c>
      <c r="AV55" s="1">
        <v>1</v>
      </c>
      <c r="AW55" s="1">
        <v>1</v>
      </c>
      <c r="AX55" s="1">
        <v>1</v>
      </c>
      <c r="AY55" s="3">
        <v>1</v>
      </c>
      <c r="AZ55" s="43">
        <f>SUMPRODUCT($AT$15:$AX$15,T_MEDIDAS[[#This Row],[&lt;5.000]:[&gt;100.000]])</f>
        <v>1</v>
      </c>
      <c r="BA55" s="1">
        <v>1</v>
      </c>
      <c r="BB55" s="1">
        <v>1</v>
      </c>
      <c r="BC55" s="1">
        <v>1</v>
      </c>
      <c r="BD55" s="1">
        <v>1</v>
      </c>
      <c r="BE55" s="1">
        <v>1</v>
      </c>
      <c r="BF55" s="1">
        <v>1</v>
      </c>
      <c r="BG55" s="1">
        <v>1</v>
      </c>
      <c r="BH55" s="43" cm="1">
        <f t="array" ref="BH55">SUMPRODUCT(--((T_MEDIDAS[[#This Row],[Centros de salud o asistencia social]:[Escuelas / Centros de educación]] + $AZ$15:$BF$15)&gt;0))</f>
        <v>7</v>
      </c>
      <c r="BI55" s="1">
        <v>0</v>
      </c>
      <c r="BJ55" s="1">
        <v>0</v>
      </c>
      <c r="BK55" s="1">
        <v>1</v>
      </c>
      <c r="BL55" s="1">
        <v>2</v>
      </c>
      <c r="BM55" s="1">
        <v>3</v>
      </c>
      <c r="BN55" s="1">
        <v>2</v>
      </c>
      <c r="BO55" s="1">
        <v>3</v>
      </c>
      <c r="BP55" s="1">
        <v>3</v>
      </c>
      <c r="BQ55" s="47" cm="1">
        <f t="array" ref="BQ55">T_MEDIDAS[[#This Row],[Aplicación tamaño]]*(SUMPRODUCT(T_MEDIDAS[[#This Row],[C1_Refrigeración]:[C8_Tiempo]],TRANSPOSE('2.PONDERACIÓN'!$L$13:$L$20))+(ROW(C55)-ROW($C$18)+1)*0.0000000001)*100</f>
        <v>175.00000038000002</v>
      </c>
      <c r="BR55" s="84"/>
      <c r="BS55" s="90"/>
    </row>
    <row r="56" spans="1:71" ht="34.5" hidden="1">
      <c r="A56" s="84"/>
      <c r="B56" s="90"/>
      <c r="C56" s="84"/>
      <c r="D56" s="43">
        <f>IF(T_MEDIDAS[[#This Row],[Peso Criterios]]&lt;=0,"",_xlfn.RANK.EQ(T_MEDIDAS[[#This Row],[Peso Criterios]],T_MEDIDAS[Peso Criterios]))</f>
        <v>77</v>
      </c>
      <c r="E56" s="116" t="s">
        <v>232</v>
      </c>
      <c r="F56" s="126" t="s">
        <v>71</v>
      </c>
      <c r="G56" s="126" t="s">
        <v>56</v>
      </c>
      <c r="H56" s="126" t="s">
        <v>171</v>
      </c>
      <c r="I56" s="126" t="s">
        <v>233</v>
      </c>
      <c r="J56" s="126"/>
      <c r="K56" s="120">
        <v>1</v>
      </c>
      <c r="L56" s="19"/>
      <c r="M56" s="19"/>
      <c r="N56" s="121" t="str">
        <f t="shared" si="2"/>
        <v>€</v>
      </c>
      <c r="O56" s="122">
        <v>1</v>
      </c>
      <c r="P56" s="122"/>
      <c r="Q56" s="20"/>
      <c r="R56" s="122"/>
      <c r="S56" s="34" t="str">
        <f>IF(T_MEDIDAS[[#This Row],[No risk (0)]]=1,"■","")</f>
        <v>■</v>
      </c>
      <c r="T56" s="35" t="str">
        <f>IF(T_MEDIDAS[[#This Row],[Low risk (1)]]=1,"■","")</f>
        <v/>
      </c>
      <c r="U56" s="36" t="str">
        <f>IF(T_MEDIDAS[[#This Row],[Medidaium risk (2)]]=1,"■","")</f>
        <v/>
      </c>
      <c r="V56" s="81" t="str">
        <f>IF(T_MEDIDAS[[#This Row],[High risk (3)]]=1,"■","")</f>
        <v/>
      </c>
      <c r="W56" s="19" t="str">
        <f t="shared" si="3"/>
        <v>1. Sin Riesgo (Verde)</v>
      </c>
      <c r="X56" s="19">
        <f>COUNT(T_MEDIDAS[[#This Row],[Edificios públicos]:[Coordinación]])</f>
        <v>4</v>
      </c>
      <c r="Y56" s="19">
        <v>1</v>
      </c>
      <c r="Z56" s="19" t="str">
        <f>IF(T_MEDIDAS[[#This Row],[Edificios públicos]]=1,"Si","No")</f>
        <v>Si</v>
      </c>
      <c r="AA56" s="19"/>
      <c r="AB56" s="19" t="str">
        <f>IF(T_MEDIDAS[[#This Row],[Planificación urbana]]=1,"Si","No")</f>
        <v>No</v>
      </c>
      <c r="AC56" s="19">
        <v>1</v>
      </c>
      <c r="AD56" s="19" t="str">
        <f>IF(T_MEDIDAS[[#This Row],[Cultura y deportes]],"Si","No")</f>
        <v>Si</v>
      </c>
      <c r="AE56" s="19"/>
      <c r="AF56" s="19" t="str">
        <f>IF(T_MEDIDAS[[#This Row],[Turismo]],"Si","No")</f>
        <v>No</v>
      </c>
      <c r="AG56" s="19"/>
      <c r="AH56" s="19" t="str">
        <f>IF(T_MEDIDAS[[#This Row],[Riesgos laborales]],"Si","No")</f>
        <v>No</v>
      </c>
      <c r="AI56" s="19">
        <v>1</v>
      </c>
      <c r="AJ56" s="19" t="str">
        <f>IF(T_MEDIDAS[[#This Row],[Educación]],"Si","No")</f>
        <v>Si</v>
      </c>
      <c r="AK56" s="19">
        <v>1</v>
      </c>
      <c r="AL56" s="19" t="str">
        <f>IF(T_MEDIDAS[[#This Row],[Servicios sociales]],"Si","No")</f>
        <v>Si</v>
      </c>
      <c r="AM56" s="19"/>
      <c r="AN56" s="19" t="str">
        <f>IF(T_MEDIDAS[[#This Row],[Servicios de emergencia y policía]],"Si","No")</f>
        <v>No</v>
      </c>
      <c r="AO56" s="19"/>
      <c r="AP56" s="19" t="str">
        <f>IF(T_MEDIDAS[[#This Row],[Parques y jardines]],"Si","No")</f>
        <v>No</v>
      </c>
      <c r="AQ56" s="19"/>
      <c r="AR56" s="19" t="str">
        <f>IF(T_MEDIDAS[[#This Row],[Transporte]],"Si","No")</f>
        <v>No</v>
      </c>
      <c r="AS56" s="125"/>
      <c r="AT56" s="1" t="str">
        <f>IF(T_MEDIDAS[[#This Row],[Coordinación]],"Si","No")</f>
        <v>No</v>
      </c>
      <c r="AU56" s="2">
        <v>1</v>
      </c>
      <c r="AV56" s="1">
        <v>1</v>
      </c>
      <c r="AW56" s="1">
        <v>1</v>
      </c>
      <c r="AX56" s="1">
        <v>1</v>
      </c>
      <c r="AY56" s="3">
        <v>1</v>
      </c>
      <c r="AZ56" s="43">
        <f>SUMPRODUCT($AT$15:$AX$15,T_MEDIDAS[[#This Row],[&lt;5.000]:[&gt;100.000]])</f>
        <v>1</v>
      </c>
      <c r="BA56" s="1">
        <v>1</v>
      </c>
      <c r="BB56" s="1">
        <v>1</v>
      </c>
      <c r="BC56" s="1">
        <v>1</v>
      </c>
      <c r="BD56" s="1">
        <v>1</v>
      </c>
      <c r="BE56" s="1">
        <v>1</v>
      </c>
      <c r="BF56" s="1">
        <v>1</v>
      </c>
      <c r="BG56" s="1">
        <v>1</v>
      </c>
      <c r="BH56" s="43" cm="1">
        <f t="array" ref="BH56">SUMPRODUCT(--((T_MEDIDAS[[#This Row],[Centros de salud o asistencia social]:[Escuelas / Centros de educación]] + $AZ$15:$BF$15)&gt;0))</f>
        <v>7</v>
      </c>
      <c r="BI56" s="44">
        <v>0</v>
      </c>
      <c r="BJ56" s="44">
        <v>0</v>
      </c>
      <c r="BK56" s="44">
        <v>2</v>
      </c>
      <c r="BL56" s="44">
        <v>2</v>
      </c>
      <c r="BM56" s="44">
        <v>3</v>
      </c>
      <c r="BN56" s="44">
        <v>2</v>
      </c>
      <c r="BO56" s="44">
        <v>3</v>
      </c>
      <c r="BP56" s="44">
        <v>3</v>
      </c>
      <c r="BQ56" s="47" cm="1">
        <f t="array" ref="BQ56">T_MEDIDAS[[#This Row],[Aplicación tamaño]]*(SUMPRODUCT(T_MEDIDAS[[#This Row],[C1_Refrigeración]:[C8_Tiempo]],TRANSPOSE('2.PONDERACIÓN'!$L$13:$L$20))+(ROW(C56)-ROW($C$18)+1)*0.0000000001)*100</f>
        <v>187.50000039</v>
      </c>
      <c r="BR56" s="84"/>
      <c r="BS56" s="90"/>
    </row>
    <row r="57" spans="1:71" ht="34.5" hidden="1">
      <c r="A57" s="84"/>
      <c r="B57" s="90"/>
      <c r="C57" s="84"/>
      <c r="D57" s="43">
        <f>IF(T_MEDIDAS[[#This Row],[Peso Criterios]]&lt;=0,"",_xlfn.RANK.EQ(T_MEDIDAS[[#This Row],[Peso Criterios]],T_MEDIDAS[Peso Criterios]))</f>
        <v>115</v>
      </c>
      <c r="E57" s="116" t="s">
        <v>234</v>
      </c>
      <c r="F57" s="126" t="s">
        <v>71</v>
      </c>
      <c r="G57" s="126" t="s">
        <v>56</v>
      </c>
      <c r="H57" s="126" t="s">
        <v>171</v>
      </c>
      <c r="I57" s="126" t="s">
        <v>235</v>
      </c>
      <c r="J57" s="126"/>
      <c r="K57" s="120">
        <v>1</v>
      </c>
      <c r="L57" s="19"/>
      <c r="M57" s="19"/>
      <c r="N57" s="121" t="str">
        <f t="shared" si="2"/>
        <v>€</v>
      </c>
      <c r="O57" s="122">
        <v>1</v>
      </c>
      <c r="P57" s="122"/>
      <c r="Q57" s="20"/>
      <c r="R57" s="122"/>
      <c r="S57" s="34" t="str">
        <f>IF(T_MEDIDAS[[#This Row],[No risk (0)]]=1,"■","")</f>
        <v>■</v>
      </c>
      <c r="T57" s="35" t="str">
        <f>IF(T_MEDIDAS[[#This Row],[Low risk (1)]]=1,"■","")</f>
        <v/>
      </c>
      <c r="U57" s="36" t="str">
        <f>IF(T_MEDIDAS[[#This Row],[Medidaium risk (2)]]=1,"■","")</f>
        <v/>
      </c>
      <c r="V57" s="81" t="str">
        <f>IF(T_MEDIDAS[[#This Row],[High risk (3)]]=1,"■","")</f>
        <v/>
      </c>
      <c r="W57" s="19" t="str">
        <f t="shared" si="3"/>
        <v>1. Sin Riesgo (Verde)</v>
      </c>
      <c r="X57" s="19">
        <f>COUNT(T_MEDIDAS[[#This Row],[Edificios públicos]:[Coordinación]])</f>
        <v>1</v>
      </c>
      <c r="Y57" s="19"/>
      <c r="Z57" s="19" t="str">
        <f>IF(T_MEDIDAS[[#This Row],[Edificios públicos]]=1,"Si","No")</f>
        <v>No</v>
      </c>
      <c r="AA57" s="19"/>
      <c r="AB57" s="19" t="str">
        <f>IF(T_MEDIDAS[[#This Row],[Planificación urbana]]=1,"Si","No")</f>
        <v>No</v>
      </c>
      <c r="AC57" s="19"/>
      <c r="AD57" s="19" t="str">
        <f>IF(T_MEDIDAS[[#This Row],[Cultura y deportes]],"Si","No")</f>
        <v>No</v>
      </c>
      <c r="AE57" s="19"/>
      <c r="AF57" s="19" t="str">
        <f>IF(T_MEDIDAS[[#This Row],[Turismo]],"Si","No")</f>
        <v>No</v>
      </c>
      <c r="AG57" s="19"/>
      <c r="AH57" s="19" t="str">
        <f>IF(T_MEDIDAS[[#This Row],[Riesgos laborales]],"Si","No")</f>
        <v>No</v>
      </c>
      <c r="AI57" s="19"/>
      <c r="AJ57" s="19" t="str">
        <f>IF(T_MEDIDAS[[#This Row],[Educación]],"Si","No")</f>
        <v>No</v>
      </c>
      <c r="AK57" s="19"/>
      <c r="AL57" s="19" t="str">
        <f>IF(T_MEDIDAS[[#This Row],[Servicios sociales]],"Si","No")</f>
        <v>No</v>
      </c>
      <c r="AM57" s="19"/>
      <c r="AN57" s="19" t="str">
        <f>IF(T_MEDIDAS[[#This Row],[Servicios de emergencia y policía]],"Si","No")</f>
        <v>No</v>
      </c>
      <c r="AO57" s="19"/>
      <c r="AP57" s="19" t="str">
        <f>IF(T_MEDIDAS[[#This Row],[Parques y jardines]],"Si","No")</f>
        <v>No</v>
      </c>
      <c r="AQ57" s="19"/>
      <c r="AR57" s="19" t="str">
        <f>IF(T_MEDIDAS[[#This Row],[Transporte]],"Si","No")</f>
        <v>No</v>
      </c>
      <c r="AS57" s="125">
        <v>1</v>
      </c>
      <c r="AT57" s="1" t="str">
        <f>IF(T_MEDIDAS[[#This Row],[Coordinación]],"Si","No")</f>
        <v>Si</v>
      </c>
      <c r="AU57" s="2">
        <v>1</v>
      </c>
      <c r="AV57" s="1">
        <v>1</v>
      </c>
      <c r="AW57" s="1">
        <v>1</v>
      </c>
      <c r="AX57" s="1">
        <v>1</v>
      </c>
      <c r="AY57" s="3">
        <v>1</v>
      </c>
      <c r="AZ57" s="43">
        <f>SUMPRODUCT($AT$15:$AX$15,T_MEDIDAS[[#This Row],[&lt;5.000]:[&gt;100.000]])</f>
        <v>1</v>
      </c>
      <c r="BA57" s="1">
        <v>1</v>
      </c>
      <c r="BB57" s="1">
        <v>1</v>
      </c>
      <c r="BC57" s="1">
        <v>1</v>
      </c>
      <c r="BD57" s="1">
        <v>1</v>
      </c>
      <c r="BE57" s="1">
        <v>1</v>
      </c>
      <c r="BF57" s="1">
        <v>1</v>
      </c>
      <c r="BG57" s="1">
        <v>1</v>
      </c>
      <c r="BH57" s="43" cm="1">
        <f t="array" ref="BH57">SUMPRODUCT(--((T_MEDIDAS[[#This Row],[Centros de salud o asistencia social]:[Escuelas / Centros de educación]] + $AZ$15:$BF$15)&gt;0))</f>
        <v>7</v>
      </c>
      <c r="BI57" s="1">
        <v>0</v>
      </c>
      <c r="BJ57" s="1">
        <v>0</v>
      </c>
      <c r="BK57" s="1">
        <v>1</v>
      </c>
      <c r="BL57" s="1">
        <v>1</v>
      </c>
      <c r="BM57" s="1">
        <v>3</v>
      </c>
      <c r="BN57" s="1">
        <v>2</v>
      </c>
      <c r="BO57" s="1">
        <v>3</v>
      </c>
      <c r="BP57" s="1">
        <v>3</v>
      </c>
      <c r="BQ57" s="47" cm="1">
        <f t="array" ref="BQ57">T_MEDIDAS[[#This Row],[Aplicación tamaño]]*(SUMPRODUCT(T_MEDIDAS[[#This Row],[C1_Refrigeración]:[C8_Tiempo]],TRANSPOSE('2.PONDERACIÓN'!$L$13:$L$20))+(ROW(C57)-ROW($C$18)+1)*0.0000000001)*100</f>
        <v>162.5000004</v>
      </c>
      <c r="BR57" s="84"/>
      <c r="BS57" s="90"/>
    </row>
    <row r="58" spans="1:71" ht="87" hidden="1">
      <c r="A58" s="84"/>
      <c r="B58" s="90"/>
      <c r="C58" s="84"/>
      <c r="D58" s="43">
        <f>IF(T_MEDIDAS[[#This Row],[Peso Criterios]]&lt;=0,"",_xlfn.RANK.EQ(T_MEDIDAS[[#This Row],[Peso Criterios]],T_MEDIDAS[Peso Criterios]))</f>
        <v>131</v>
      </c>
      <c r="E58" s="116" t="s">
        <v>236</v>
      </c>
      <c r="F58" s="126" t="s">
        <v>71</v>
      </c>
      <c r="G58" s="126" t="s">
        <v>47</v>
      </c>
      <c r="H58" s="126" t="s">
        <v>157</v>
      </c>
      <c r="I58" s="126" t="s">
        <v>237</v>
      </c>
      <c r="J58" s="126"/>
      <c r="K58" s="120">
        <v>1</v>
      </c>
      <c r="L58" s="19"/>
      <c r="M58" s="19"/>
      <c r="N58" s="121" t="str">
        <f t="shared" si="2"/>
        <v>€</v>
      </c>
      <c r="O58" s="122">
        <v>1</v>
      </c>
      <c r="P58" s="122"/>
      <c r="Q58" s="20"/>
      <c r="R58" s="122"/>
      <c r="S58" s="34" t="str">
        <f>IF(T_MEDIDAS[[#This Row],[No risk (0)]]=1,"■","")</f>
        <v>■</v>
      </c>
      <c r="T58" s="35" t="str">
        <f>IF(T_MEDIDAS[[#This Row],[Low risk (1)]]=1,"■","")</f>
        <v/>
      </c>
      <c r="U58" s="36" t="str">
        <f>IF(T_MEDIDAS[[#This Row],[Medidaium risk (2)]]=1,"■","")</f>
        <v/>
      </c>
      <c r="V58" s="81" t="str">
        <f>IF(T_MEDIDAS[[#This Row],[High risk (3)]]=1,"■","")</f>
        <v/>
      </c>
      <c r="W58" s="19" t="str">
        <f t="shared" si="3"/>
        <v>1. Sin Riesgo (Verde)</v>
      </c>
      <c r="X58" s="19">
        <f>COUNT(T_MEDIDAS[[#This Row],[Edificios públicos]:[Coordinación]])</f>
        <v>4</v>
      </c>
      <c r="Y58" s="19">
        <v>1</v>
      </c>
      <c r="Z58" s="19" t="str">
        <f>IF(T_MEDIDAS[[#This Row],[Edificios públicos]]=1,"Si","No")</f>
        <v>Si</v>
      </c>
      <c r="AA58" s="19"/>
      <c r="AB58" s="19" t="str">
        <f>IF(T_MEDIDAS[[#This Row],[Planificación urbana]]=1,"Si","No")</f>
        <v>No</v>
      </c>
      <c r="AC58" s="19">
        <v>1</v>
      </c>
      <c r="AD58" s="19" t="str">
        <f>IF(T_MEDIDAS[[#This Row],[Cultura y deportes]],"Si","No")</f>
        <v>Si</v>
      </c>
      <c r="AE58" s="19"/>
      <c r="AF58" s="19" t="str">
        <f>IF(T_MEDIDAS[[#This Row],[Turismo]],"Si","No")</f>
        <v>No</v>
      </c>
      <c r="AG58" s="19"/>
      <c r="AH58" s="19" t="str">
        <f>IF(T_MEDIDAS[[#This Row],[Riesgos laborales]],"Si","No")</f>
        <v>No</v>
      </c>
      <c r="AI58" s="19">
        <v>1</v>
      </c>
      <c r="AJ58" s="19" t="str">
        <f>IF(T_MEDIDAS[[#This Row],[Educación]],"Si","No")</f>
        <v>Si</v>
      </c>
      <c r="AK58" s="19">
        <v>1</v>
      </c>
      <c r="AL58" s="19" t="str">
        <f>IF(T_MEDIDAS[[#This Row],[Servicios sociales]],"Si","No")</f>
        <v>Si</v>
      </c>
      <c r="AM58" s="19"/>
      <c r="AN58" s="19" t="str">
        <f>IF(T_MEDIDAS[[#This Row],[Servicios de emergencia y policía]],"Si","No")</f>
        <v>No</v>
      </c>
      <c r="AO58" s="19"/>
      <c r="AP58" s="19" t="str">
        <f>IF(T_MEDIDAS[[#This Row],[Parques y jardines]],"Si","No")</f>
        <v>No</v>
      </c>
      <c r="AQ58" s="19"/>
      <c r="AR58" s="19" t="str">
        <f>IF(T_MEDIDAS[[#This Row],[Transporte]],"Si","No")</f>
        <v>No</v>
      </c>
      <c r="AS58" s="125"/>
      <c r="AT58" s="1" t="str">
        <f>IF(T_MEDIDAS[[#This Row],[Coordinación]],"Si","No")</f>
        <v>No</v>
      </c>
      <c r="AU58" s="2">
        <v>1</v>
      </c>
      <c r="AV58" s="1">
        <v>1</v>
      </c>
      <c r="AW58" s="1">
        <v>1</v>
      </c>
      <c r="AX58" s="1">
        <v>1</v>
      </c>
      <c r="AY58" s="3">
        <v>1</v>
      </c>
      <c r="AZ58" s="43">
        <f>SUMPRODUCT($AT$15:$AX$15,T_MEDIDAS[[#This Row],[&lt;5.000]:[&gt;100.000]])</f>
        <v>1</v>
      </c>
      <c r="BA58" s="1">
        <v>1</v>
      </c>
      <c r="BB58" s="1">
        <v>1</v>
      </c>
      <c r="BC58" s="1">
        <v>1</v>
      </c>
      <c r="BD58" s="1">
        <v>1</v>
      </c>
      <c r="BE58" s="1">
        <v>1</v>
      </c>
      <c r="BF58" s="1">
        <v>1</v>
      </c>
      <c r="BG58" s="1">
        <v>1</v>
      </c>
      <c r="BH58" s="43" cm="1">
        <f t="array" ref="BH58">SUMPRODUCT(--((T_MEDIDAS[[#This Row],[Centros de salud o asistencia social]:[Escuelas / Centros de educación]] + $AZ$15:$BF$15)&gt;0))</f>
        <v>7</v>
      </c>
      <c r="BI58" s="44">
        <v>0</v>
      </c>
      <c r="BJ58" s="44">
        <v>0</v>
      </c>
      <c r="BK58" s="44">
        <v>2</v>
      </c>
      <c r="BL58" s="44">
        <v>2</v>
      </c>
      <c r="BM58" s="44">
        <v>2</v>
      </c>
      <c r="BN58" s="44">
        <v>1</v>
      </c>
      <c r="BO58" s="44">
        <v>2</v>
      </c>
      <c r="BP58" s="44">
        <v>2</v>
      </c>
      <c r="BQ58" s="47" cm="1">
        <f t="array" ref="BQ58">T_MEDIDAS[[#This Row],[Aplicación tamaño]]*(SUMPRODUCT(T_MEDIDAS[[#This Row],[C1_Refrigeración]:[C8_Tiempo]],TRANSPOSE('2.PONDERACIÓN'!$L$13:$L$20))+(ROW(C58)-ROW($C$18)+1)*0.0000000001)*100</f>
        <v>137.50000040999998</v>
      </c>
      <c r="BR58" s="84"/>
      <c r="BS58" s="90"/>
    </row>
    <row r="59" spans="1:71" ht="34.5" hidden="1">
      <c r="A59" s="84"/>
      <c r="B59" s="90"/>
      <c r="C59" s="84"/>
      <c r="D59" s="43">
        <f>IF(T_MEDIDAS[[#This Row],[Peso Criterios]]&lt;=0,"",_xlfn.RANK.EQ(T_MEDIDAS[[#This Row],[Peso Criterios]],T_MEDIDAS[Peso Criterios]))</f>
        <v>130</v>
      </c>
      <c r="E59" s="116" t="s">
        <v>238</v>
      </c>
      <c r="F59" s="126" t="s">
        <v>71</v>
      </c>
      <c r="G59" s="126" t="s">
        <v>47</v>
      </c>
      <c r="H59" s="126" t="s">
        <v>157</v>
      </c>
      <c r="I59" s="126" t="s">
        <v>239</v>
      </c>
      <c r="J59" s="126"/>
      <c r="K59" s="120">
        <v>1</v>
      </c>
      <c r="L59" s="19"/>
      <c r="M59" s="19"/>
      <c r="N59" s="121" t="str">
        <f t="shared" si="2"/>
        <v>€</v>
      </c>
      <c r="O59" s="122">
        <v>1</v>
      </c>
      <c r="P59" s="122"/>
      <c r="Q59" s="20"/>
      <c r="R59" s="122"/>
      <c r="S59" s="34" t="str">
        <f>IF(T_MEDIDAS[[#This Row],[No risk (0)]]=1,"■","")</f>
        <v>■</v>
      </c>
      <c r="T59" s="35" t="str">
        <f>IF(T_MEDIDAS[[#This Row],[Low risk (1)]]=1,"■","")</f>
        <v/>
      </c>
      <c r="U59" s="36" t="str">
        <f>IF(T_MEDIDAS[[#This Row],[Medidaium risk (2)]]=1,"■","")</f>
        <v/>
      </c>
      <c r="V59" s="81" t="str">
        <f>IF(T_MEDIDAS[[#This Row],[High risk (3)]]=1,"■","")</f>
        <v/>
      </c>
      <c r="W59" s="19" t="str">
        <f t="shared" si="3"/>
        <v>1. Sin Riesgo (Verde)</v>
      </c>
      <c r="X59" s="19">
        <f>COUNT(T_MEDIDAS[[#This Row],[Edificios públicos]:[Coordinación]])</f>
        <v>2</v>
      </c>
      <c r="Y59" s="19">
        <v>1</v>
      </c>
      <c r="Z59" s="19" t="str">
        <f>IF(T_MEDIDAS[[#This Row],[Edificios públicos]]=1,"Si","No")</f>
        <v>Si</v>
      </c>
      <c r="AA59" s="19"/>
      <c r="AB59" s="19" t="str">
        <f>IF(T_MEDIDAS[[#This Row],[Planificación urbana]]=1,"Si","No")</f>
        <v>No</v>
      </c>
      <c r="AC59" s="19"/>
      <c r="AD59" s="19" t="str">
        <f>IF(T_MEDIDAS[[#This Row],[Cultura y deportes]],"Si","No")</f>
        <v>No</v>
      </c>
      <c r="AE59" s="19">
        <v>1</v>
      </c>
      <c r="AF59" s="19" t="str">
        <f>IF(T_MEDIDAS[[#This Row],[Turismo]],"Si","No")</f>
        <v>Si</v>
      </c>
      <c r="AG59" s="19"/>
      <c r="AH59" s="19" t="str">
        <f>IF(T_MEDIDAS[[#This Row],[Riesgos laborales]],"Si","No")</f>
        <v>No</v>
      </c>
      <c r="AI59" s="19"/>
      <c r="AJ59" s="19" t="str">
        <f>IF(T_MEDIDAS[[#This Row],[Educación]],"Si","No")</f>
        <v>No</v>
      </c>
      <c r="AK59" s="19"/>
      <c r="AL59" s="19" t="str">
        <f>IF(T_MEDIDAS[[#This Row],[Servicios sociales]],"Si","No")</f>
        <v>No</v>
      </c>
      <c r="AM59" s="19"/>
      <c r="AN59" s="19" t="str">
        <f>IF(T_MEDIDAS[[#This Row],[Servicios de emergencia y policía]],"Si","No")</f>
        <v>No</v>
      </c>
      <c r="AO59" s="19"/>
      <c r="AP59" s="19" t="str">
        <f>IF(T_MEDIDAS[[#This Row],[Parques y jardines]],"Si","No")</f>
        <v>No</v>
      </c>
      <c r="AQ59" s="19"/>
      <c r="AR59" s="19" t="str">
        <f>IF(T_MEDIDAS[[#This Row],[Transporte]],"Si","No")</f>
        <v>No</v>
      </c>
      <c r="AS59" s="125"/>
      <c r="AT59" s="1" t="str">
        <f>IF(T_MEDIDAS[[#This Row],[Coordinación]],"Si","No")</f>
        <v>No</v>
      </c>
      <c r="AU59" s="2">
        <v>1</v>
      </c>
      <c r="AV59" s="1">
        <v>1</v>
      </c>
      <c r="AW59" s="1">
        <v>1</v>
      </c>
      <c r="AX59" s="1">
        <v>1</v>
      </c>
      <c r="AY59" s="3">
        <v>1</v>
      </c>
      <c r="AZ59" s="43">
        <f>SUMPRODUCT($AT$15:$AX$15,T_MEDIDAS[[#This Row],[&lt;5.000]:[&gt;100.000]])</f>
        <v>1</v>
      </c>
      <c r="BA59" s="1">
        <v>1</v>
      </c>
      <c r="BB59" s="1">
        <v>1</v>
      </c>
      <c r="BC59" s="1">
        <v>1</v>
      </c>
      <c r="BD59" s="1">
        <v>1</v>
      </c>
      <c r="BE59" s="1">
        <v>1</v>
      </c>
      <c r="BF59" s="1">
        <v>1</v>
      </c>
      <c r="BG59" s="1">
        <v>1</v>
      </c>
      <c r="BH59" s="43" cm="1">
        <f t="array" ref="BH59">SUMPRODUCT(--((T_MEDIDAS[[#This Row],[Centros de salud o asistencia social]:[Escuelas / Centros de educación]] + $AZ$15:$BF$15)&gt;0))</f>
        <v>7</v>
      </c>
      <c r="BI59" s="1">
        <v>2</v>
      </c>
      <c r="BJ59" s="1">
        <v>1</v>
      </c>
      <c r="BK59" s="1">
        <v>0</v>
      </c>
      <c r="BL59" s="1">
        <v>2</v>
      </c>
      <c r="BM59" s="1">
        <v>1</v>
      </c>
      <c r="BN59" s="1">
        <v>1</v>
      </c>
      <c r="BO59" s="1">
        <v>2</v>
      </c>
      <c r="BP59" s="1">
        <v>2</v>
      </c>
      <c r="BQ59" s="47" cm="1">
        <f t="array" ref="BQ59">T_MEDIDAS[[#This Row],[Aplicación tamaño]]*(SUMPRODUCT(T_MEDIDAS[[#This Row],[C1_Refrigeración]:[C8_Tiempo]],TRANSPOSE('2.PONDERACIÓN'!$L$13:$L$20))+(ROW(C59)-ROW($C$18)+1)*0.0000000001)*100</f>
        <v>137.50000041999999</v>
      </c>
      <c r="BR59" s="84"/>
      <c r="BS59" s="90"/>
    </row>
    <row r="60" spans="1:71" ht="34.5" hidden="1">
      <c r="A60" s="84"/>
      <c r="B60" s="90"/>
      <c r="C60" s="84"/>
      <c r="D60" s="43">
        <f>IF(T_MEDIDAS[[#This Row],[Peso Criterios]]&lt;=0,"",_xlfn.RANK.EQ(T_MEDIDAS[[#This Row],[Peso Criterios]],T_MEDIDAS[Peso Criterios]))</f>
        <v>114</v>
      </c>
      <c r="E60" s="116" t="s">
        <v>240</v>
      </c>
      <c r="F60" s="126" t="s">
        <v>71</v>
      </c>
      <c r="G60" s="126" t="s">
        <v>56</v>
      </c>
      <c r="H60" s="126" t="s">
        <v>171</v>
      </c>
      <c r="I60" s="126" t="s">
        <v>241</v>
      </c>
      <c r="J60" s="126"/>
      <c r="K60" s="120">
        <v>1</v>
      </c>
      <c r="L60" s="19"/>
      <c r="M60" s="19"/>
      <c r="N60" s="121" t="str">
        <f t="shared" si="2"/>
        <v>€</v>
      </c>
      <c r="O60" s="122">
        <v>1</v>
      </c>
      <c r="P60" s="122"/>
      <c r="Q60" s="20"/>
      <c r="R60" s="122"/>
      <c r="S60" s="34" t="str">
        <f>IF(T_MEDIDAS[[#This Row],[No risk (0)]]=1,"■","")</f>
        <v>■</v>
      </c>
      <c r="T60" s="35" t="str">
        <f>IF(T_MEDIDAS[[#This Row],[Low risk (1)]]=1,"■","")</f>
        <v/>
      </c>
      <c r="U60" s="36" t="str">
        <f>IF(T_MEDIDAS[[#This Row],[Medidaium risk (2)]]=1,"■","")</f>
        <v/>
      </c>
      <c r="V60" s="81" t="str">
        <f>IF(T_MEDIDAS[[#This Row],[High risk (3)]]=1,"■","")</f>
        <v/>
      </c>
      <c r="W60" s="19" t="str">
        <f t="shared" si="3"/>
        <v>1. Sin Riesgo (Verde)</v>
      </c>
      <c r="X60" s="19">
        <f>COUNT(T_MEDIDAS[[#This Row],[Edificios públicos]:[Coordinación]])</f>
        <v>2</v>
      </c>
      <c r="Y60" s="19"/>
      <c r="Z60" s="19" t="str">
        <f>IF(T_MEDIDAS[[#This Row],[Edificios públicos]]=1,"Si","No")</f>
        <v>No</v>
      </c>
      <c r="AA60" s="19"/>
      <c r="AB60" s="19" t="str">
        <f>IF(T_MEDIDAS[[#This Row],[Planificación urbana]]=1,"Si","No")</f>
        <v>No</v>
      </c>
      <c r="AC60" s="19">
        <v>1</v>
      </c>
      <c r="AD60" s="19" t="str">
        <f>IF(T_MEDIDAS[[#This Row],[Cultura y deportes]],"Si","No")</f>
        <v>Si</v>
      </c>
      <c r="AE60" s="19"/>
      <c r="AF60" s="19" t="str">
        <f>IF(T_MEDIDAS[[#This Row],[Turismo]],"Si","No")</f>
        <v>No</v>
      </c>
      <c r="AG60" s="19"/>
      <c r="AH60" s="19" t="str">
        <f>IF(T_MEDIDAS[[#This Row],[Riesgos laborales]],"Si","No")</f>
        <v>No</v>
      </c>
      <c r="AI60" s="19"/>
      <c r="AJ60" s="19" t="str">
        <f>IF(T_MEDIDAS[[#This Row],[Educación]],"Si","No")</f>
        <v>No</v>
      </c>
      <c r="AK60" s="19"/>
      <c r="AL60" s="19" t="str">
        <f>IF(T_MEDIDAS[[#This Row],[Servicios sociales]],"Si","No")</f>
        <v>No</v>
      </c>
      <c r="AM60" s="19"/>
      <c r="AN60" s="19" t="str">
        <f>IF(T_MEDIDAS[[#This Row],[Servicios de emergencia y policía]],"Si","No")</f>
        <v>No</v>
      </c>
      <c r="AO60" s="19"/>
      <c r="AP60" s="19" t="str">
        <f>IF(T_MEDIDAS[[#This Row],[Parques y jardines]],"Si","No")</f>
        <v>No</v>
      </c>
      <c r="AQ60" s="19"/>
      <c r="AR60" s="19" t="str">
        <f>IF(T_MEDIDAS[[#This Row],[Transporte]],"Si","No")</f>
        <v>No</v>
      </c>
      <c r="AS60" s="125">
        <v>1</v>
      </c>
      <c r="AT60" s="1" t="str">
        <f>IF(T_MEDIDAS[[#This Row],[Coordinación]],"Si","No")</f>
        <v>Si</v>
      </c>
      <c r="AU60" s="2">
        <v>1</v>
      </c>
      <c r="AV60" s="1">
        <v>1</v>
      </c>
      <c r="AW60" s="1">
        <v>1</v>
      </c>
      <c r="AX60" s="1">
        <v>1</v>
      </c>
      <c r="AY60" s="3">
        <v>1</v>
      </c>
      <c r="AZ60" s="43">
        <f>SUMPRODUCT($AT$15:$AX$15,T_MEDIDAS[[#This Row],[&lt;5.000]:[&gt;100.000]])</f>
        <v>1</v>
      </c>
      <c r="BA60" s="1">
        <v>1</v>
      </c>
      <c r="BB60" s="1">
        <v>1</v>
      </c>
      <c r="BC60" s="1">
        <v>1</v>
      </c>
      <c r="BD60" s="1">
        <v>1</v>
      </c>
      <c r="BE60" s="1">
        <v>1</v>
      </c>
      <c r="BF60" s="1">
        <v>1</v>
      </c>
      <c r="BG60" s="1">
        <v>1</v>
      </c>
      <c r="BH60" s="43" cm="1">
        <f t="array" ref="BH60">SUMPRODUCT(--((T_MEDIDAS[[#This Row],[Centros de salud o asistencia social]:[Escuelas / Centros de educación]] + $AZ$15:$BF$15)&gt;0))</f>
        <v>7</v>
      </c>
      <c r="BI60" s="44">
        <v>0</v>
      </c>
      <c r="BJ60" s="44">
        <v>0</v>
      </c>
      <c r="BK60" s="44">
        <v>0</v>
      </c>
      <c r="BL60" s="44">
        <v>2</v>
      </c>
      <c r="BM60" s="44">
        <v>3</v>
      </c>
      <c r="BN60" s="44">
        <v>2</v>
      </c>
      <c r="BO60" s="44">
        <v>3</v>
      </c>
      <c r="BP60" s="44">
        <v>3</v>
      </c>
      <c r="BQ60" s="47" cm="1">
        <f t="array" ref="BQ60">T_MEDIDAS[[#This Row],[Aplicación tamaño]]*(SUMPRODUCT(T_MEDIDAS[[#This Row],[C1_Refrigeración]:[C8_Tiempo]],TRANSPOSE('2.PONDERACIÓN'!$L$13:$L$20))+(ROW(C60)-ROW($C$18)+1)*0.0000000001)*100</f>
        <v>162.50000043</v>
      </c>
      <c r="BR60" s="84"/>
      <c r="BS60" s="90"/>
    </row>
    <row r="61" spans="1:71" ht="34.5" hidden="1">
      <c r="A61" s="84"/>
      <c r="B61" s="90"/>
      <c r="C61" s="84"/>
      <c r="D61" s="43">
        <f>IF(T_MEDIDAS[[#This Row],[Peso Criterios]]&lt;=0,"",_xlfn.RANK.EQ(T_MEDIDAS[[#This Row],[Peso Criterios]],T_MEDIDAS[Peso Criterios]))</f>
        <v>113</v>
      </c>
      <c r="E61" s="116" t="s">
        <v>242</v>
      </c>
      <c r="F61" s="126" t="s">
        <v>71</v>
      </c>
      <c r="G61" s="126" t="s">
        <v>56</v>
      </c>
      <c r="H61" s="126" t="s">
        <v>171</v>
      </c>
      <c r="I61" s="126" t="s">
        <v>243</v>
      </c>
      <c r="J61" s="126"/>
      <c r="K61" s="120">
        <v>1</v>
      </c>
      <c r="L61" s="19"/>
      <c r="M61" s="19"/>
      <c r="N61" s="121" t="str">
        <f t="shared" si="2"/>
        <v>€</v>
      </c>
      <c r="O61" s="122">
        <v>1</v>
      </c>
      <c r="P61" s="122"/>
      <c r="Q61" s="20"/>
      <c r="R61" s="122"/>
      <c r="S61" s="34" t="str">
        <f>IF(T_MEDIDAS[[#This Row],[No risk (0)]]=1,"■","")</f>
        <v>■</v>
      </c>
      <c r="T61" s="35" t="str">
        <f>IF(T_MEDIDAS[[#This Row],[Low risk (1)]]=1,"■","")</f>
        <v/>
      </c>
      <c r="U61" s="36" t="str">
        <f>IF(T_MEDIDAS[[#This Row],[Medidaium risk (2)]]=1,"■","")</f>
        <v/>
      </c>
      <c r="V61" s="81" t="str">
        <f>IF(T_MEDIDAS[[#This Row],[High risk (3)]]=1,"■","")</f>
        <v/>
      </c>
      <c r="W61" s="19" t="str">
        <f t="shared" si="3"/>
        <v>1. Sin Riesgo (Verde)</v>
      </c>
      <c r="X61" s="19">
        <f>COUNT(T_MEDIDAS[[#This Row],[Edificios públicos]:[Coordinación]])</f>
        <v>2</v>
      </c>
      <c r="Y61" s="19"/>
      <c r="Z61" s="19" t="str">
        <f>IF(T_MEDIDAS[[#This Row],[Edificios públicos]]=1,"Si","No")</f>
        <v>No</v>
      </c>
      <c r="AA61" s="19"/>
      <c r="AB61" s="19" t="str">
        <f>IF(T_MEDIDAS[[#This Row],[Planificación urbana]]=1,"Si","No")</f>
        <v>No</v>
      </c>
      <c r="AC61" s="19">
        <v>1</v>
      </c>
      <c r="AD61" s="19" t="str">
        <f>IF(T_MEDIDAS[[#This Row],[Cultura y deportes]],"Si","No")</f>
        <v>Si</v>
      </c>
      <c r="AE61" s="19"/>
      <c r="AF61" s="19" t="str">
        <f>IF(T_MEDIDAS[[#This Row],[Turismo]],"Si","No")</f>
        <v>No</v>
      </c>
      <c r="AG61" s="19"/>
      <c r="AH61" s="19" t="str">
        <f>IF(T_MEDIDAS[[#This Row],[Riesgos laborales]],"Si","No")</f>
        <v>No</v>
      </c>
      <c r="AI61" s="19"/>
      <c r="AJ61" s="19" t="str">
        <f>IF(T_MEDIDAS[[#This Row],[Educación]],"Si","No")</f>
        <v>No</v>
      </c>
      <c r="AK61" s="19"/>
      <c r="AL61" s="19" t="str">
        <f>IF(T_MEDIDAS[[#This Row],[Servicios sociales]],"Si","No")</f>
        <v>No</v>
      </c>
      <c r="AM61" s="19"/>
      <c r="AN61" s="19" t="str">
        <f>IF(T_MEDIDAS[[#This Row],[Servicios de emergencia y policía]],"Si","No")</f>
        <v>No</v>
      </c>
      <c r="AO61" s="19"/>
      <c r="AP61" s="19" t="str">
        <f>IF(T_MEDIDAS[[#This Row],[Parques y jardines]],"Si","No")</f>
        <v>No</v>
      </c>
      <c r="AQ61" s="19"/>
      <c r="AR61" s="19" t="str">
        <f>IF(T_MEDIDAS[[#This Row],[Transporte]],"Si","No")</f>
        <v>No</v>
      </c>
      <c r="AS61" s="125">
        <v>1</v>
      </c>
      <c r="AT61" s="1" t="str">
        <f>IF(T_MEDIDAS[[#This Row],[Coordinación]],"Si","No")</f>
        <v>Si</v>
      </c>
      <c r="AU61" s="2">
        <v>1</v>
      </c>
      <c r="AV61" s="1">
        <v>1</v>
      </c>
      <c r="AW61" s="1">
        <v>1</v>
      </c>
      <c r="AX61" s="1">
        <v>1</v>
      </c>
      <c r="AY61" s="3">
        <v>1</v>
      </c>
      <c r="AZ61" s="43">
        <f>SUMPRODUCT($AT$15:$AX$15,T_MEDIDAS[[#This Row],[&lt;5.000]:[&gt;100.000]])</f>
        <v>1</v>
      </c>
      <c r="BA61" s="1">
        <v>1</v>
      </c>
      <c r="BB61" s="1">
        <v>1</v>
      </c>
      <c r="BC61" s="1">
        <v>1</v>
      </c>
      <c r="BD61" s="1">
        <v>1</v>
      </c>
      <c r="BE61" s="1">
        <v>1</v>
      </c>
      <c r="BF61" s="1">
        <v>1</v>
      </c>
      <c r="BG61" s="1">
        <v>1</v>
      </c>
      <c r="BH61" s="43" cm="1">
        <f t="array" ref="BH61">SUMPRODUCT(--((T_MEDIDAS[[#This Row],[Centros de salud o asistencia social]:[Escuelas / Centros de educación]] + $AZ$15:$BF$15)&gt;0))</f>
        <v>7</v>
      </c>
      <c r="BI61" s="1">
        <v>0</v>
      </c>
      <c r="BJ61" s="1">
        <v>0</v>
      </c>
      <c r="BK61" s="1">
        <v>0</v>
      </c>
      <c r="BL61" s="1">
        <v>2</v>
      </c>
      <c r="BM61" s="1">
        <v>3</v>
      </c>
      <c r="BN61" s="1">
        <v>2</v>
      </c>
      <c r="BO61" s="1">
        <v>3</v>
      </c>
      <c r="BP61" s="1">
        <v>3</v>
      </c>
      <c r="BQ61" s="47" cm="1">
        <f t="array" ref="BQ61">T_MEDIDAS[[#This Row],[Aplicación tamaño]]*(SUMPRODUCT(T_MEDIDAS[[#This Row],[C1_Refrigeración]:[C8_Tiempo]],TRANSPOSE('2.PONDERACIÓN'!$L$13:$L$20))+(ROW(C61)-ROW($C$18)+1)*0.0000000001)*100</f>
        <v>162.50000043999998</v>
      </c>
      <c r="BR61" s="84"/>
      <c r="BS61" s="90"/>
    </row>
    <row r="62" spans="1:71" ht="43.5" hidden="1">
      <c r="A62" s="84"/>
      <c r="B62" s="90"/>
      <c r="C62" s="84"/>
      <c r="D62" s="43">
        <f>IF(T_MEDIDAS[[#This Row],[Peso Criterios]]&lt;=0,"",_xlfn.RANK.EQ(T_MEDIDAS[[#This Row],[Peso Criterios]],T_MEDIDAS[Peso Criterios]))</f>
        <v>76</v>
      </c>
      <c r="E62" s="116" t="s">
        <v>244</v>
      </c>
      <c r="F62" s="126" t="s">
        <v>71</v>
      </c>
      <c r="G62" s="126" t="s">
        <v>56</v>
      </c>
      <c r="H62" s="126" t="s">
        <v>171</v>
      </c>
      <c r="I62" s="126" t="s">
        <v>245</v>
      </c>
      <c r="J62" s="126"/>
      <c r="K62" s="120">
        <v>1</v>
      </c>
      <c r="L62" s="19"/>
      <c r="M62" s="19"/>
      <c r="N62" s="121" t="str">
        <f t="shared" si="2"/>
        <v>€</v>
      </c>
      <c r="O62" s="122">
        <v>1</v>
      </c>
      <c r="P62" s="122"/>
      <c r="Q62" s="20"/>
      <c r="R62" s="122"/>
      <c r="S62" s="34" t="str">
        <f>IF(T_MEDIDAS[[#This Row],[No risk (0)]]=1,"■","")</f>
        <v>■</v>
      </c>
      <c r="T62" s="35" t="str">
        <f>IF(T_MEDIDAS[[#This Row],[Low risk (1)]]=1,"■","")</f>
        <v/>
      </c>
      <c r="U62" s="36" t="str">
        <f>IF(T_MEDIDAS[[#This Row],[Medidaium risk (2)]]=1,"■","")</f>
        <v/>
      </c>
      <c r="V62" s="81" t="str">
        <f>IF(T_MEDIDAS[[#This Row],[High risk (3)]]=1,"■","")</f>
        <v/>
      </c>
      <c r="W62" s="19" t="str">
        <f t="shared" si="3"/>
        <v>1. Sin Riesgo (Verde)</v>
      </c>
      <c r="X62" s="19">
        <f>COUNT(T_MEDIDAS[[#This Row],[Edificios públicos]:[Coordinación]])</f>
        <v>1</v>
      </c>
      <c r="Y62" s="19"/>
      <c r="Z62" s="19" t="str">
        <f>IF(T_MEDIDAS[[#This Row],[Edificios públicos]]=1,"Si","No")</f>
        <v>No</v>
      </c>
      <c r="AA62" s="19"/>
      <c r="AB62" s="19" t="str">
        <f>IF(T_MEDIDAS[[#This Row],[Planificación urbana]]=1,"Si","No")</f>
        <v>No</v>
      </c>
      <c r="AC62" s="19"/>
      <c r="AD62" s="19" t="str">
        <f>IF(T_MEDIDAS[[#This Row],[Cultura y deportes]],"Si","No")</f>
        <v>No</v>
      </c>
      <c r="AE62" s="19"/>
      <c r="AF62" s="19" t="str">
        <f>IF(T_MEDIDAS[[#This Row],[Turismo]],"Si","No")</f>
        <v>No</v>
      </c>
      <c r="AG62" s="19">
        <v>1</v>
      </c>
      <c r="AH62" s="19" t="str">
        <f>IF(T_MEDIDAS[[#This Row],[Riesgos laborales]],"Si","No")</f>
        <v>Si</v>
      </c>
      <c r="AI62" s="19"/>
      <c r="AJ62" s="19" t="str">
        <f>IF(T_MEDIDAS[[#This Row],[Educación]],"Si","No")</f>
        <v>No</v>
      </c>
      <c r="AK62" s="19"/>
      <c r="AL62" s="19" t="str">
        <f>IF(T_MEDIDAS[[#This Row],[Servicios sociales]],"Si","No")</f>
        <v>No</v>
      </c>
      <c r="AM62" s="19"/>
      <c r="AN62" s="19" t="str">
        <f>IF(T_MEDIDAS[[#This Row],[Servicios de emergencia y policía]],"Si","No")</f>
        <v>No</v>
      </c>
      <c r="AO62" s="19"/>
      <c r="AP62" s="19" t="str">
        <f>IF(T_MEDIDAS[[#This Row],[Parques y jardines]],"Si","No")</f>
        <v>No</v>
      </c>
      <c r="AQ62" s="19"/>
      <c r="AR62" s="19" t="str">
        <f>IF(T_MEDIDAS[[#This Row],[Transporte]],"Si","No")</f>
        <v>No</v>
      </c>
      <c r="AS62" s="125"/>
      <c r="AT62" s="1" t="str">
        <f>IF(T_MEDIDAS[[#This Row],[Coordinación]],"Si","No")</f>
        <v>No</v>
      </c>
      <c r="AU62" s="2">
        <v>1</v>
      </c>
      <c r="AV62" s="1">
        <v>1</v>
      </c>
      <c r="AW62" s="1">
        <v>1</v>
      </c>
      <c r="AX62" s="1">
        <v>1</v>
      </c>
      <c r="AY62" s="3">
        <v>1</v>
      </c>
      <c r="AZ62" s="43">
        <f>SUMPRODUCT($AT$15:$AX$15,T_MEDIDAS[[#This Row],[&lt;5.000]:[&gt;100.000]])</f>
        <v>1</v>
      </c>
      <c r="BA62" s="1">
        <v>1</v>
      </c>
      <c r="BB62" s="1">
        <v>1</v>
      </c>
      <c r="BC62" s="1">
        <v>1</v>
      </c>
      <c r="BD62" s="1">
        <v>1</v>
      </c>
      <c r="BE62" s="1">
        <v>1</v>
      </c>
      <c r="BF62" s="1">
        <v>1</v>
      </c>
      <c r="BG62" s="1">
        <v>1</v>
      </c>
      <c r="BH62" s="43" cm="1">
        <f t="array" ref="BH62">SUMPRODUCT(--((T_MEDIDAS[[#This Row],[Centros de salud o asistencia social]:[Escuelas / Centros de educación]] + $AZ$15:$BF$15)&gt;0))</f>
        <v>7</v>
      </c>
      <c r="BI62" s="44">
        <v>0</v>
      </c>
      <c r="BJ62" s="44">
        <v>0</v>
      </c>
      <c r="BK62" s="44">
        <v>2</v>
      </c>
      <c r="BL62" s="44">
        <v>2</v>
      </c>
      <c r="BM62" s="44">
        <v>3</v>
      </c>
      <c r="BN62" s="44">
        <v>2</v>
      </c>
      <c r="BO62" s="44">
        <v>3</v>
      </c>
      <c r="BP62" s="44">
        <v>3</v>
      </c>
      <c r="BQ62" s="47" cm="1">
        <f t="array" ref="BQ62">T_MEDIDAS[[#This Row],[Aplicación tamaño]]*(SUMPRODUCT(T_MEDIDAS[[#This Row],[C1_Refrigeración]:[C8_Tiempo]],TRANSPOSE('2.PONDERACIÓN'!$L$13:$L$20))+(ROW(C62)-ROW($C$18)+1)*0.0000000001)*100</f>
        <v>187.50000044999999</v>
      </c>
      <c r="BR62" s="84"/>
      <c r="BS62" s="90"/>
    </row>
    <row r="63" spans="1:71" ht="34.5" hidden="1">
      <c r="A63" s="84"/>
      <c r="B63" s="90"/>
      <c r="C63" s="84"/>
      <c r="D63" s="43">
        <f>IF(T_MEDIDAS[[#This Row],[Peso Criterios]]&lt;=0,"",_xlfn.RANK.EQ(T_MEDIDAS[[#This Row],[Peso Criterios]],T_MEDIDAS[Peso Criterios]))</f>
        <v>90</v>
      </c>
      <c r="E63" s="116" t="s">
        <v>246</v>
      </c>
      <c r="F63" s="126" t="s">
        <v>71</v>
      </c>
      <c r="G63" s="126" t="s">
        <v>56</v>
      </c>
      <c r="H63" s="126" t="s">
        <v>171</v>
      </c>
      <c r="I63" s="126" t="s">
        <v>247</v>
      </c>
      <c r="J63" s="126"/>
      <c r="K63" s="120">
        <v>1</v>
      </c>
      <c r="L63" s="19"/>
      <c r="M63" s="19"/>
      <c r="N63" s="121" t="str">
        <f t="shared" si="2"/>
        <v>€</v>
      </c>
      <c r="O63" s="122">
        <v>1</v>
      </c>
      <c r="P63" s="122"/>
      <c r="Q63" s="20"/>
      <c r="R63" s="122"/>
      <c r="S63" s="34" t="str">
        <f>IF(T_MEDIDAS[[#This Row],[No risk (0)]]=1,"■","")</f>
        <v>■</v>
      </c>
      <c r="T63" s="35" t="str">
        <f>IF(T_MEDIDAS[[#This Row],[Low risk (1)]]=1,"■","")</f>
        <v/>
      </c>
      <c r="U63" s="36" t="str">
        <f>IF(T_MEDIDAS[[#This Row],[Medidaium risk (2)]]=1,"■","")</f>
        <v/>
      </c>
      <c r="V63" s="81" t="str">
        <f>IF(T_MEDIDAS[[#This Row],[High risk (3)]]=1,"■","")</f>
        <v/>
      </c>
      <c r="W63" s="19" t="str">
        <f t="shared" si="3"/>
        <v>1. Sin Riesgo (Verde)</v>
      </c>
      <c r="X63" s="19">
        <f>COUNT(T_MEDIDAS[[#This Row],[Edificios públicos]:[Coordinación]])</f>
        <v>1</v>
      </c>
      <c r="Y63" s="19"/>
      <c r="Z63" s="19" t="str">
        <f>IF(T_MEDIDAS[[#This Row],[Edificios públicos]]=1,"Si","No")</f>
        <v>No</v>
      </c>
      <c r="AA63" s="19"/>
      <c r="AB63" s="19" t="str">
        <f>IF(T_MEDIDAS[[#This Row],[Planificación urbana]]=1,"Si","No")</f>
        <v>No</v>
      </c>
      <c r="AC63" s="19"/>
      <c r="AD63" s="19" t="str">
        <f>IF(T_MEDIDAS[[#This Row],[Cultura y deportes]],"Si","No")</f>
        <v>No</v>
      </c>
      <c r="AE63" s="19">
        <v>1</v>
      </c>
      <c r="AF63" s="19" t="str">
        <f>IF(T_MEDIDAS[[#This Row],[Turismo]],"Si","No")</f>
        <v>Si</v>
      </c>
      <c r="AG63" s="19"/>
      <c r="AH63" s="19" t="str">
        <f>IF(T_MEDIDAS[[#This Row],[Riesgos laborales]],"Si","No")</f>
        <v>No</v>
      </c>
      <c r="AI63" s="19"/>
      <c r="AJ63" s="19" t="str">
        <f>IF(T_MEDIDAS[[#This Row],[Educación]],"Si","No")</f>
        <v>No</v>
      </c>
      <c r="AK63" s="19"/>
      <c r="AL63" s="19" t="str">
        <f>IF(T_MEDIDAS[[#This Row],[Servicios sociales]],"Si","No")</f>
        <v>No</v>
      </c>
      <c r="AM63" s="19"/>
      <c r="AN63" s="19" t="str">
        <f>IF(T_MEDIDAS[[#This Row],[Servicios de emergencia y policía]],"Si","No")</f>
        <v>No</v>
      </c>
      <c r="AO63" s="19"/>
      <c r="AP63" s="19" t="str">
        <f>IF(T_MEDIDAS[[#This Row],[Parques y jardines]],"Si","No")</f>
        <v>No</v>
      </c>
      <c r="AQ63" s="19"/>
      <c r="AR63" s="19" t="str">
        <f>IF(T_MEDIDAS[[#This Row],[Transporte]],"Si","No")</f>
        <v>No</v>
      </c>
      <c r="AS63" s="125"/>
      <c r="AT63" s="1" t="str">
        <f>IF(T_MEDIDAS[[#This Row],[Coordinación]],"Si","No")</f>
        <v>No</v>
      </c>
      <c r="AU63" s="2">
        <v>1</v>
      </c>
      <c r="AV63" s="1">
        <v>1</v>
      </c>
      <c r="AW63" s="1">
        <v>1</v>
      </c>
      <c r="AX63" s="1">
        <v>1</v>
      </c>
      <c r="AY63" s="3">
        <v>1</v>
      </c>
      <c r="AZ63" s="43">
        <f>SUMPRODUCT($AT$15:$AX$15,T_MEDIDAS[[#This Row],[&lt;5.000]:[&gt;100.000]])</f>
        <v>1</v>
      </c>
      <c r="BA63" s="1">
        <v>1</v>
      </c>
      <c r="BB63" s="1">
        <v>1</v>
      </c>
      <c r="BC63" s="1">
        <v>1</v>
      </c>
      <c r="BD63" s="1">
        <v>1</v>
      </c>
      <c r="BE63" s="1">
        <v>1</v>
      </c>
      <c r="BF63" s="1">
        <v>1</v>
      </c>
      <c r="BG63" s="1">
        <v>1</v>
      </c>
      <c r="BH63" s="43" cm="1">
        <f t="array" ref="BH63">SUMPRODUCT(--((T_MEDIDAS[[#This Row],[Centros de salud o asistencia social]:[Escuelas / Centros de educación]] + $AZ$15:$BF$15)&gt;0))</f>
        <v>7</v>
      </c>
      <c r="BI63" s="1">
        <v>0</v>
      </c>
      <c r="BJ63" s="1">
        <v>0</v>
      </c>
      <c r="BK63" s="1">
        <v>1</v>
      </c>
      <c r="BL63" s="1">
        <v>2</v>
      </c>
      <c r="BM63" s="1">
        <v>3</v>
      </c>
      <c r="BN63" s="1">
        <v>2</v>
      </c>
      <c r="BO63" s="1">
        <v>3</v>
      </c>
      <c r="BP63" s="1">
        <v>3</v>
      </c>
      <c r="BQ63" s="47" cm="1">
        <f t="array" ref="BQ63">T_MEDIDAS[[#This Row],[Aplicación tamaño]]*(SUMPRODUCT(T_MEDIDAS[[#This Row],[C1_Refrigeración]:[C8_Tiempo]],TRANSPOSE('2.PONDERACIÓN'!$L$13:$L$20))+(ROW(C63)-ROW($C$18)+1)*0.0000000001)*100</f>
        <v>175.00000046</v>
      </c>
      <c r="BR63" s="84"/>
      <c r="BS63" s="90"/>
    </row>
    <row r="64" spans="1:71" ht="34.5" hidden="1">
      <c r="A64" s="84"/>
      <c r="B64" s="90"/>
      <c r="C64" s="84"/>
      <c r="D64" s="43">
        <f>IF(T_MEDIDAS[[#This Row],[Peso Criterios]]&lt;=0,"",_xlfn.RANK.EQ(T_MEDIDAS[[#This Row],[Peso Criterios]],T_MEDIDAS[Peso Criterios]))</f>
        <v>8</v>
      </c>
      <c r="E64" s="116" t="s">
        <v>248</v>
      </c>
      <c r="F64" s="126" t="s">
        <v>71</v>
      </c>
      <c r="G64" s="126" t="s">
        <v>56</v>
      </c>
      <c r="H64" s="126" t="s">
        <v>171</v>
      </c>
      <c r="I64" s="126" t="s">
        <v>249</v>
      </c>
      <c r="J64" s="126"/>
      <c r="K64" s="120">
        <v>1</v>
      </c>
      <c r="L64" s="19"/>
      <c r="M64" s="19"/>
      <c r="N64" s="121" t="str">
        <f t="shared" si="2"/>
        <v>€</v>
      </c>
      <c r="O64" s="122">
        <v>1</v>
      </c>
      <c r="P64" s="122">
        <v>1</v>
      </c>
      <c r="Q64" s="20"/>
      <c r="R64" s="122"/>
      <c r="S64" s="34" t="str">
        <f>IF(T_MEDIDAS[[#This Row],[No risk (0)]]=1,"■","")</f>
        <v>■</v>
      </c>
      <c r="T64" s="35" t="str">
        <f>IF(T_MEDIDAS[[#This Row],[Low risk (1)]]=1,"■","")</f>
        <v>■</v>
      </c>
      <c r="U64" s="36" t="str">
        <f>IF(T_MEDIDAS[[#This Row],[Medidaium risk (2)]]=1,"■","")</f>
        <v/>
      </c>
      <c r="V64" s="81" t="str">
        <f>IF(T_MEDIDAS[[#This Row],[High risk (3)]]=1,"■","")</f>
        <v/>
      </c>
      <c r="W64" s="19" t="str">
        <f t="shared" si="3"/>
        <v>2. Bajo (Amarillo)</v>
      </c>
      <c r="X64" s="19">
        <f>COUNT(T_MEDIDAS[[#This Row],[Edificios públicos]:[Coordinación]])</f>
        <v>3</v>
      </c>
      <c r="Y64" s="19">
        <v>1</v>
      </c>
      <c r="Z64" s="19" t="str">
        <f>IF(T_MEDIDAS[[#This Row],[Edificios públicos]]=1,"Si","No")</f>
        <v>Si</v>
      </c>
      <c r="AA64" s="19">
        <v>1</v>
      </c>
      <c r="AB64" s="19" t="str">
        <f>IF(T_MEDIDAS[[#This Row],[Planificación urbana]]=1,"Si","No")</f>
        <v>Si</v>
      </c>
      <c r="AC64" s="19"/>
      <c r="AD64" s="19" t="str">
        <f>IF(T_MEDIDAS[[#This Row],[Cultura y deportes]],"Si","No")</f>
        <v>No</v>
      </c>
      <c r="AE64" s="19"/>
      <c r="AF64" s="19" t="str">
        <f>IF(T_MEDIDAS[[#This Row],[Turismo]],"Si","No")</f>
        <v>No</v>
      </c>
      <c r="AG64" s="19"/>
      <c r="AH64" s="19" t="str">
        <f>IF(T_MEDIDAS[[#This Row],[Riesgos laborales]],"Si","No")</f>
        <v>No</v>
      </c>
      <c r="AI64" s="19"/>
      <c r="AJ64" s="19" t="str">
        <f>IF(T_MEDIDAS[[#This Row],[Educación]],"Si","No")</f>
        <v>No</v>
      </c>
      <c r="AK64" s="19"/>
      <c r="AL64" s="19" t="str">
        <f>IF(T_MEDIDAS[[#This Row],[Servicios sociales]],"Si","No")</f>
        <v>No</v>
      </c>
      <c r="AM64" s="19"/>
      <c r="AN64" s="19" t="str">
        <f>IF(T_MEDIDAS[[#This Row],[Servicios de emergencia y policía]],"Si","No")</f>
        <v>No</v>
      </c>
      <c r="AO64" s="19">
        <v>1</v>
      </c>
      <c r="AP64" s="19" t="str">
        <f>IF(T_MEDIDAS[[#This Row],[Parques y jardines]],"Si","No")</f>
        <v>Si</v>
      </c>
      <c r="AQ64" s="19"/>
      <c r="AR64" s="19" t="str">
        <f>IF(T_MEDIDAS[[#This Row],[Transporte]],"Si","No")</f>
        <v>No</v>
      </c>
      <c r="AS64" s="125"/>
      <c r="AT64" s="1" t="str">
        <f>IF(T_MEDIDAS[[#This Row],[Coordinación]],"Si","No")</f>
        <v>No</v>
      </c>
      <c r="AU64" s="2">
        <v>1</v>
      </c>
      <c r="AV64" s="1">
        <v>1</v>
      </c>
      <c r="AW64" s="1">
        <v>1</v>
      </c>
      <c r="AX64" s="1">
        <v>1</v>
      </c>
      <c r="AY64" s="3">
        <v>1</v>
      </c>
      <c r="AZ64" s="43">
        <f>SUMPRODUCT($AT$15:$AX$15,T_MEDIDAS[[#This Row],[&lt;5.000]:[&gt;100.000]])</f>
        <v>1</v>
      </c>
      <c r="BA64" s="1">
        <v>1</v>
      </c>
      <c r="BB64" s="1">
        <v>1</v>
      </c>
      <c r="BC64" s="1">
        <v>1</v>
      </c>
      <c r="BD64" s="1">
        <v>1</v>
      </c>
      <c r="BE64" s="1">
        <v>1</v>
      </c>
      <c r="BF64" s="1">
        <v>1</v>
      </c>
      <c r="BG64" s="1">
        <v>1</v>
      </c>
      <c r="BH64" s="43" cm="1">
        <f t="array" ref="BH64">SUMPRODUCT(--((T_MEDIDAS[[#This Row],[Centros de salud o asistencia social]:[Escuelas / Centros de educación]] + $AZ$15:$BF$15)&gt;0))</f>
        <v>7</v>
      </c>
      <c r="BI64" s="44">
        <v>0</v>
      </c>
      <c r="BJ64" s="44">
        <v>0</v>
      </c>
      <c r="BK64" s="44">
        <v>3</v>
      </c>
      <c r="BL64" s="44">
        <v>3</v>
      </c>
      <c r="BM64" s="44">
        <v>3</v>
      </c>
      <c r="BN64" s="44">
        <v>2</v>
      </c>
      <c r="BO64" s="44">
        <v>3</v>
      </c>
      <c r="BP64" s="44">
        <v>3</v>
      </c>
      <c r="BQ64" s="47" cm="1">
        <f t="array" ref="BQ64">T_MEDIDAS[[#This Row],[Aplicación tamaño]]*(SUMPRODUCT(T_MEDIDAS[[#This Row],[C1_Refrigeración]:[C8_Tiempo]],TRANSPOSE('2.PONDERACIÓN'!$L$13:$L$20))+(ROW(C64)-ROW($C$18)+1)*0.0000000001)*100</f>
        <v>212.50000047</v>
      </c>
      <c r="BR64" s="84"/>
      <c r="BS64" s="90"/>
    </row>
    <row r="65" spans="1:71" ht="34.5" hidden="1">
      <c r="A65" s="84"/>
      <c r="B65" s="90"/>
      <c r="C65" s="84"/>
      <c r="D65" s="43">
        <f>IF(T_MEDIDAS[[#This Row],[Peso Criterios]]&lt;=0,"",_xlfn.RANK.EQ(T_MEDIDAS[[#This Row],[Peso Criterios]],T_MEDIDAS[Peso Criterios]))</f>
        <v>40</v>
      </c>
      <c r="E65" s="116" t="s">
        <v>250</v>
      </c>
      <c r="F65" s="126" t="s">
        <v>71</v>
      </c>
      <c r="G65" s="126" t="s">
        <v>50</v>
      </c>
      <c r="H65" s="126" t="s">
        <v>160</v>
      </c>
      <c r="I65" s="126" t="s">
        <v>251</v>
      </c>
      <c r="J65" s="126"/>
      <c r="K65" s="120">
        <v>1</v>
      </c>
      <c r="L65" s="19"/>
      <c r="M65" s="19"/>
      <c r="N65" s="121" t="str">
        <f t="shared" si="2"/>
        <v>€</v>
      </c>
      <c r="O65" s="122">
        <v>1</v>
      </c>
      <c r="P65" s="122">
        <v>1</v>
      </c>
      <c r="Q65" s="20"/>
      <c r="R65" s="122"/>
      <c r="S65" s="34" t="str">
        <f>IF(T_MEDIDAS[[#This Row],[No risk (0)]]=1,"■","")</f>
        <v>■</v>
      </c>
      <c r="T65" s="35" t="str">
        <f>IF(T_MEDIDAS[[#This Row],[Low risk (1)]]=1,"■","")</f>
        <v>■</v>
      </c>
      <c r="U65" s="36" t="str">
        <f>IF(T_MEDIDAS[[#This Row],[Medidaium risk (2)]]=1,"■","")</f>
        <v/>
      </c>
      <c r="V65" s="81" t="str">
        <f>IF(T_MEDIDAS[[#This Row],[High risk (3)]]=1,"■","")</f>
        <v/>
      </c>
      <c r="W65" s="19" t="str">
        <f t="shared" si="3"/>
        <v>2. Bajo (Amarillo)</v>
      </c>
      <c r="X65" s="19">
        <f>COUNT(T_MEDIDAS[[#This Row],[Edificios públicos]:[Coordinación]])</f>
        <v>1</v>
      </c>
      <c r="Y65" s="19"/>
      <c r="Z65" s="19" t="str">
        <f>IF(T_MEDIDAS[[#This Row],[Edificios públicos]]=1,"Si","No")</f>
        <v>No</v>
      </c>
      <c r="AA65" s="19"/>
      <c r="AB65" s="19" t="str">
        <f>IF(T_MEDIDAS[[#This Row],[Planificación urbana]]=1,"Si","No")</f>
        <v>No</v>
      </c>
      <c r="AC65" s="19"/>
      <c r="AD65" s="19" t="str">
        <f>IF(T_MEDIDAS[[#This Row],[Cultura y deportes]],"Si","No")</f>
        <v>No</v>
      </c>
      <c r="AE65" s="19"/>
      <c r="AF65" s="19" t="str">
        <f>IF(T_MEDIDAS[[#This Row],[Turismo]],"Si","No")</f>
        <v>No</v>
      </c>
      <c r="AG65" s="19"/>
      <c r="AH65" s="19" t="str">
        <f>IF(T_MEDIDAS[[#This Row],[Riesgos laborales]],"Si","No")</f>
        <v>No</v>
      </c>
      <c r="AI65" s="19"/>
      <c r="AJ65" s="19" t="str">
        <f>IF(T_MEDIDAS[[#This Row],[Educación]],"Si","No")</f>
        <v>No</v>
      </c>
      <c r="AK65" s="19">
        <v>1</v>
      </c>
      <c r="AL65" s="19" t="str">
        <f>IF(T_MEDIDAS[[#This Row],[Servicios sociales]],"Si","No")</f>
        <v>Si</v>
      </c>
      <c r="AM65" s="19"/>
      <c r="AN65" s="19" t="str">
        <f>IF(T_MEDIDAS[[#This Row],[Servicios de emergencia y policía]],"Si","No")</f>
        <v>No</v>
      </c>
      <c r="AO65" s="19"/>
      <c r="AP65" s="19" t="str">
        <f>IF(T_MEDIDAS[[#This Row],[Parques y jardines]],"Si","No")</f>
        <v>No</v>
      </c>
      <c r="AQ65" s="19"/>
      <c r="AR65" s="19" t="str">
        <f>IF(T_MEDIDAS[[#This Row],[Transporte]],"Si","No")</f>
        <v>No</v>
      </c>
      <c r="AS65" s="125"/>
      <c r="AT65" s="1" t="str">
        <f>IF(T_MEDIDAS[[#This Row],[Coordinación]],"Si","No")</f>
        <v>No</v>
      </c>
      <c r="AU65" s="2">
        <v>1</v>
      </c>
      <c r="AV65" s="1">
        <v>1</v>
      </c>
      <c r="AW65" s="1">
        <v>1</v>
      </c>
      <c r="AX65" s="1">
        <v>1</v>
      </c>
      <c r="AY65" s="3">
        <v>1</v>
      </c>
      <c r="AZ65" s="43">
        <f>SUMPRODUCT($AT$15:$AX$15,T_MEDIDAS[[#This Row],[&lt;5.000]:[&gt;100.000]])</f>
        <v>1</v>
      </c>
      <c r="BA65" s="1">
        <v>1</v>
      </c>
      <c r="BB65" s="1">
        <v>1</v>
      </c>
      <c r="BC65" s="1">
        <v>1</v>
      </c>
      <c r="BD65" s="1">
        <v>1</v>
      </c>
      <c r="BE65" s="1">
        <v>1</v>
      </c>
      <c r="BF65" s="1">
        <v>1</v>
      </c>
      <c r="BG65" s="1">
        <v>1</v>
      </c>
      <c r="BH65" s="43" cm="1">
        <f t="array" ref="BH65">SUMPRODUCT(--((T_MEDIDAS[[#This Row],[Centros de salud o asistencia social]:[Escuelas / Centros de educación]] + $AZ$15:$BF$15)&gt;0))</f>
        <v>7</v>
      </c>
      <c r="BI65" s="1">
        <v>0</v>
      </c>
      <c r="BJ65" s="1">
        <v>0</v>
      </c>
      <c r="BK65" s="1">
        <v>3</v>
      </c>
      <c r="BL65" s="1">
        <v>2</v>
      </c>
      <c r="BM65" s="1">
        <v>3</v>
      </c>
      <c r="BN65" s="1">
        <v>2</v>
      </c>
      <c r="BO65" s="1">
        <v>3</v>
      </c>
      <c r="BP65" s="1">
        <v>3</v>
      </c>
      <c r="BQ65" s="47" cm="1">
        <f t="array" ref="BQ65">T_MEDIDAS[[#This Row],[Aplicación tamaño]]*(SUMPRODUCT(T_MEDIDAS[[#This Row],[C1_Refrigeración]:[C8_Tiempo]],TRANSPOSE('2.PONDERACIÓN'!$L$13:$L$20))+(ROW(C65)-ROW($C$18)+1)*0.0000000001)*100</f>
        <v>200.00000047999998</v>
      </c>
      <c r="BR65" s="84"/>
      <c r="BS65" s="90"/>
    </row>
    <row r="66" spans="1:71" ht="34.5" hidden="1">
      <c r="A66" s="84"/>
      <c r="B66" s="90"/>
      <c r="C66" s="84"/>
      <c r="D66" s="43">
        <f>IF(T_MEDIDAS[[#This Row],[Peso Criterios]]&lt;=0,"",_xlfn.RANK.EQ(T_MEDIDAS[[#This Row],[Peso Criterios]],T_MEDIDAS[Peso Criterios]))</f>
        <v>39</v>
      </c>
      <c r="E66" s="116" t="s">
        <v>252</v>
      </c>
      <c r="F66" s="126" t="s">
        <v>71</v>
      </c>
      <c r="G66" s="126" t="s">
        <v>47</v>
      </c>
      <c r="H66" s="126" t="s">
        <v>157</v>
      </c>
      <c r="I66" s="126" t="s">
        <v>253</v>
      </c>
      <c r="J66" s="126"/>
      <c r="K66" s="120"/>
      <c r="L66" s="19">
        <v>1</v>
      </c>
      <c r="M66" s="19"/>
      <c r="N66" s="121" t="str">
        <f t="shared" si="2"/>
        <v>€€</v>
      </c>
      <c r="O66" s="122">
        <v>1</v>
      </c>
      <c r="P66" s="122">
        <v>1</v>
      </c>
      <c r="Q66" s="20"/>
      <c r="R66" s="122"/>
      <c r="S66" s="34" t="str">
        <f>IF(T_MEDIDAS[[#This Row],[No risk (0)]]=1,"■","")</f>
        <v>■</v>
      </c>
      <c r="T66" s="35" t="str">
        <f>IF(T_MEDIDAS[[#This Row],[Low risk (1)]]=1,"■","")</f>
        <v>■</v>
      </c>
      <c r="U66" s="36" t="str">
        <f>IF(T_MEDIDAS[[#This Row],[Medidaium risk (2)]]=1,"■","")</f>
        <v/>
      </c>
      <c r="V66" s="81" t="str">
        <f>IF(T_MEDIDAS[[#This Row],[High risk (3)]]=1,"■","")</f>
        <v/>
      </c>
      <c r="W66" s="19" t="str">
        <f t="shared" si="3"/>
        <v>2. Bajo (Amarillo)</v>
      </c>
      <c r="X66" s="19">
        <f>COUNT(T_MEDIDAS[[#This Row],[Edificios públicos]:[Coordinación]])</f>
        <v>3</v>
      </c>
      <c r="Y66" s="19">
        <v>1</v>
      </c>
      <c r="Z66" s="19" t="str">
        <f>IF(T_MEDIDAS[[#This Row],[Edificios públicos]]=1,"Si","No")</f>
        <v>Si</v>
      </c>
      <c r="AA66" s="19">
        <v>1</v>
      </c>
      <c r="AB66" s="19" t="str">
        <f>IF(T_MEDIDAS[[#This Row],[Planificación urbana]]=1,"Si","No")</f>
        <v>Si</v>
      </c>
      <c r="AC66" s="19"/>
      <c r="AD66" s="19" t="str">
        <f>IF(T_MEDIDAS[[#This Row],[Cultura y deportes]],"Si","No")</f>
        <v>No</v>
      </c>
      <c r="AE66" s="19"/>
      <c r="AF66" s="19" t="str">
        <f>IF(T_MEDIDAS[[#This Row],[Turismo]],"Si","No")</f>
        <v>No</v>
      </c>
      <c r="AG66" s="19"/>
      <c r="AH66" s="19" t="str">
        <f>IF(T_MEDIDAS[[#This Row],[Riesgos laborales]],"Si","No")</f>
        <v>No</v>
      </c>
      <c r="AI66" s="19"/>
      <c r="AJ66" s="19" t="str">
        <f>IF(T_MEDIDAS[[#This Row],[Educación]],"Si","No")</f>
        <v>No</v>
      </c>
      <c r="AK66" s="19"/>
      <c r="AL66" s="19" t="str">
        <f>IF(T_MEDIDAS[[#This Row],[Servicios sociales]],"Si","No")</f>
        <v>No</v>
      </c>
      <c r="AM66" s="19"/>
      <c r="AN66" s="19" t="str">
        <f>IF(T_MEDIDAS[[#This Row],[Servicios de emergencia y policía]],"Si","No")</f>
        <v>No</v>
      </c>
      <c r="AO66" s="19">
        <v>1</v>
      </c>
      <c r="AP66" s="19" t="str">
        <f>IF(T_MEDIDAS[[#This Row],[Parques y jardines]],"Si","No")</f>
        <v>Si</v>
      </c>
      <c r="AQ66" s="19"/>
      <c r="AR66" s="19" t="str">
        <f>IF(T_MEDIDAS[[#This Row],[Transporte]],"Si","No")</f>
        <v>No</v>
      </c>
      <c r="AS66" s="125"/>
      <c r="AT66" s="1" t="str">
        <f>IF(T_MEDIDAS[[#This Row],[Coordinación]],"Si","No")</f>
        <v>No</v>
      </c>
      <c r="AU66" s="2">
        <v>1</v>
      </c>
      <c r="AV66" s="1">
        <v>1</v>
      </c>
      <c r="AW66" s="1">
        <v>1</v>
      </c>
      <c r="AX66" s="1">
        <v>1</v>
      </c>
      <c r="AY66" s="3">
        <v>1</v>
      </c>
      <c r="AZ66" s="43">
        <f>SUMPRODUCT($AT$15:$AX$15,T_MEDIDAS[[#This Row],[&lt;5.000]:[&gt;100.000]])</f>
        <v>1</v>
      </c>
      <c r="BA66" s="1">
        <v>1</v>
      </c>
      <c r="BB66" s="1">
        <v>1</v>
      </c>
      <c r="BC66" s="1">
        <v>1</v>
      </c>
      <c r="BD66" s="1">
        <v>1</v>
      </c>
      <c r="BE66" s="1">
        <v>1</v>
      </c>
      <c r="BF66" s="1">
        <v>1</v>
      </c>
      <c r="BG66" s="1">
        <v>1</v>
      </c>
      <c r="BH66" s="43" cm="1">
        <f t="array" ref="BH66">SUMPRODUCT(--((T_MEDIDAS[[#This Row],[Centros de salud o asistencia social]:[Escuelas / Centros de educación]] + $AZ$15:$BF$15)&gt;0))</f>
        <v>7</v>
      </c>
      <c r="BI66" s="44">
        <v>3</v>
      </c>
      <c r="BJ66" s="44">
        <v>1</v>
      </c>
      <c r="BK66" s="44">
        <v>3</v>
      </c>
      <c r="BL66" s="44">
        <v>3</v>
      </c>
      <c r="BM66" s="44">
        <v>1</v>
      </c>
      <c r="BN66" s="44">
        <v>2</v>
      </c>
      <c r="BO66" s="44">
        <v>2</v>
      </c>
      <c r="BP66" s="44">
        <v>1</v>
      </c>
      <c r="BQ66" s="47" cm="1">
        <f t="array" ref="BQ66">T_MEDIDAS[[#This Row],[Aplicación tamaño]]*(SUMPRODUCT(T_MEDIDAS[[#This Row],[C1_Refrigeración]:[C8_Tiempo]],TRANSPOSE('2.PONDERACIÓN'!$L$13:$L$20))+(ROW(C66)-ROW($C$18)+1)*0.0000000001)*100</f>
        <v>200.00000048999999</v>
      </c>
      <c r="BR66" s="84"/>
      <c r="BS66" s="90"/>
    </row>
    <row r="67" spans="1:71" ht="34.5" hidden="1">
      <c r="A67" s="84"/>
      <c r="B67" s="90"/>
      <c r="C67" s="84"/>
      <c r="D67" s="43">
        <f>IF(T_MEDIDAS[[#This Row],[Peso Criterios]]&lt;=0,"",_xlfn.RANK.EQ(T_MEDIDAS[[#This Row],[Peso Criterios]],T_MEDIDAS[Peso Criterios]))</f>
        <v>112</v>
      </c>
      <c r="E67" s="116" t="s">
        <v>254</v>
      </c>
      <c r="F67" s="126" t="s">
        <v>71</v>
      </c>
      <c r="G67" s="126" t="s">
        <v>56</v>
      </c>
      <c r="H67" s="126" t="s">
        <v>171</v>
      </c>
      <c r="I67" s="126" t="s">
        <v>255</v>
      </c>
      <c r="J67" s="126"/>
      <c r="K67" s="120">
        <v>1</v>
      </c>
      <c r="L67" s="19"/>
      <c r="M67" s="19"/>
      <c r="N67" s="121" t="str">
        <f t="shared" si="2"/>
        <v>€</v>
      </c>
      <c r="O67" s="122">
        <v>1</v>
      </c>
      <c r="P67" s="122">
        <v>1</v>
      </c>
      <c r="Q67" s="20"/>
      <c r="R67" s="122"/>
      <c r="S67" s="34" t="str">
        <f>IF(T_MEDIDAS[[#This Row],[No risk (0)]]=1,"■","")</f>
        <v>■</v>
      </c>
      <c r="T67" s="35" t="str">
        <f>IF(T_MEDIDAS[[#This Row],[Low risk (1)]]=1,"■","")</f>
        <v>■</v>
      </c>
      <c r="U67" s="36" t="str">
        <f>IF(T_MEDIDAS[[#This Row],[Medidaium risk (2)]]=1,"■","")</f>
        <v/>
      </c>
      <c r="V67" s="81" t="str">
        <f>IF(T_MEDIDAS[[#This Row],[High risk (3)]]=1,"■","")</f>
        <v/>
      </c>
      <c r="W67" s="19" t="str">
        <f t="shared" si="3"/>
        <v>2. Bajo (Amarillo)</v>
      </c>
      <c r="X67" s="19">
        <f>COUNT(T_MEDIDAS[[#This Row],[Edificios públicos]:[Coordinación]])</f>
        <v>1</v>
      </c>
      <c r="Y67" s="19"/>
      <c r="Z67" s="19" t="str">
        <f>IF(T_MEDIDAS[[#This Row],[Edificios públicos]]=1,"Si","No")</f>
        <v>No</v>
      </c>
      <c r="AA67" s="19"/>
      <c r="AB67" s="19" t="str">
        <f>IF(T_MEDIDAS[[#This Row],[Planificación urbana]]=1,"Si","No")</f>
        <v>No</v>
      </c>
      <c r="AC67" s="19"/>
      <c r="AD67" s="19" t="str">
        <f>IF(T_MEDIDAS[[#This Row],[Cultura y deportes]],"Si","No")</f>
        <v>No</v>
      </c>
      <c r="AE67" s="19"/>
      <c r="AF67" s="19" t="str">
        <f>IF(T_MEDIDAS[[#This Row],[Turismo]],"Si","No")</f>
        <v>No</v>
      </c>
      <c r="AG67" s="19"/>
      <c r="AH67" s="19" t="str">
        <f>IF(T_MEDIDAS[[#This Row],[Riesgos laborales]],"Si","No")</f>
        <v>No</v>
      </c>
      <c r="AI67" s="19"/>
      <c r="AJ67" s="19" t="str">
        <f>IF(T_MEDIDAS[[#This Row],[Educación]],"Si","No")</f>
        <v>No</v>
      </c>
      <c r="AK67" s="19"/>
      <c r="AL67" s="19" t="str">
        <f>IF(T_MEDIDAS[[#This Row],[Servicios sociales]],"Si","No")</f>
        <v>No</v>
      </c>
      <c r="AM67" s="19"/>
      <c r="AN67" s="19" t="str">
        <f>IF(T_MEDIDAS[[#This Row],[Servicios de emergencia y policía]],"Si","No")</f>
        <v>No</v>
      </c>
      <c r="AO67" s="19"/>
      <c r="AP67" s="19" t="str">
        <f>IF(T_MEDIDAS[[#This Row],[Parques y jardines]],"Si","No")</f>
        <v>No</v>
      </c>
      <c r="AQ67" s="19"/>
      <c r="AR67" s="19" t="str">
        <f>IF(T_MEDIDAS[[#This Row],[Transporte]],"Si","No")</f>
        <v>No</v>
      </c>
      <c r="AS67" s="125">
        <v>1</v>
      </c>
      <c r="AT67" s="1" t="str">
        <f>IF(T_MEDIDAS[[#This Row],[Coordinación]],"Si","No")</f>
        <v>Si</v>
      </c>
      <c r="AU67" s="2">
        <v>1</v>
      </c>
      <c r="AV67" s="1">
        <v>1</v>
      </c>
      <c r="AW67" s="1">
        <v>1</v>
      </c>
      <c r="AX67" s="1">
        <v>1</v>
      </c>
      <c r="AY67" s="3">
        <v>1</v>
      </c>
      <c r="AZ67" s="43">
        <f>SUMPRODUCT($AT$15:$AX$15,T_MEDIDAS[[#This Row],[&lt;5.000]:[&gt;100.000]])</f>
        <v>1</v>
      </c>
      <c r="BA67" s="1">
        <v>1</v>
      </c>
      <c r="BB67" s="1">
        <v>1</v>
      </c>
      <c r="BC67" s="1">
        <v>1</v>
      </c>
      <c r="BD67" s="1">
        <v>1</v>
      </c>
      <c r="BE67" s="1">
        <v>1</v>
      </c>
      <c r="BF67" s="1">
        <v>1</v>
      </c>
      <c r="BG67" s="1">
        <v>1</v>
      </c>
      <c r="BH67" s="43" cm="1">
        <f t="array" ref="BH67">SUMPRODUCT(--((T_MEDIDAS[[#This Row],[Centros de salud o asistencia social]:[Escuelas / Centros de educación]] + $AZ$15:$BF$15)&gt;0))</f>
        <v>7</v>
      </c>
      <c r="BI67" s="1">
        <v>0</v>
      </c>
      <c r="BJ67" s="1">
        <v>0</v>
      </c>
      <c r="BK67" s="1">
        <v>1</v>
      </c>
      <c r="BL67" s="1">
        <v>1</v>
      </c>
      <c r="BM67" s="1">
        <v>3</v>
      </c>
      <c r="BN67" s="1">
        <v>2</v>
      </c>
      <c r="BO67" s="1">
        <v>3</v>
      </c>
      <c r="BP67" s="1">
        <v>3</v>
      </c>
      <c r="BQ67" s="47" cm="1">
        <f t="array" ref="BQ67">T_MEDIDAS[[#This Row],[Aplicación tamaño]]*(SUMPRODUCT(T_MEDIDAS[[#This Row],[C1_Refrigeración]:[C8_Tiempo]],TRANSPOSE('2.PONDERACIÓN'!$L$13:$L$20))+(ROW(C67)-ROW($C$18)+1)*0.0000000001)*100</f>
        <v>162.5000005</v>
      </c>
      <c r="BR67" s="84"/>
      <c r="BS67" s="90"/>
    </row>
    <row r="68" spans="1:71" ht="34.5" hidden="1">
      <c r="A68" s="84"/>
      <c r="B68" s="90"/>
      <c r="C68" s="84"/>
      <c r="D68" s="43">
        <f>IF(T_MEDIDAS[[#This Row],[Peso Criterios]]&lt;=0,"",_xlfn.RANK.EQ(T_MEDIDAS[[#This Row],[Peso Criterios]],T_MEDIDAS[Peso Criterios]))</f>
        <v>124</v>
      </c>
      <c r="E68" s="116" t="s">
        <v>256</v>
      </c>
      <c r="F68" s="126" t="s">
        <v>71</v>
      </c>
      <c r="G68" s="126" t="s">
        <v>56</v>
      </c>
      <c r="H68" s="126" t="s">
        <v>171</v>
      </c>
      <c r="I68" s="126" t="s">
        <v>257</v>
      </c>
      <c r="J68" s="126"/>
      <c r="K68" s="120">
        <v>1</v>
      </c>
      <c r="L68" s="19"/>
      <c r="M68" s="19"/>
      <c r="N68" s="121" t="str">
        <f t="shared" si="2"/>
        <v>€</v>
      </c>
      <c r="O68" s="122">
        <v>1</v>
      </c>
      <c r="P68" s="122">
        <v>1</v>
      </c>
      <c r="Q68" s="20"/>
      <c r="R68" s="122"/>
      <c r="S68" s="34" t="str">
        <f>IF(T_MEDIDAS[[#This Row],[No risk (0)]]=1,"■","")</f>
        <v>■</v>
      </c>
      <c r="T68" s="35" t="str">
        <f>IF(T_MEDIDAS[[#This Row],[Low risk (1)]]=1,"■","")</f>
        <v>■</v>
      </c>
      <c r="U68" s="36" t="str">
        <f>IF(T_MEDIDAS[[#This Row],[Medidaium risk (2)]]=1,"■","")</f>
        <v/>
      </c>
      <c r="V68" s="81" t="str">
        <f>IF(T_MEDIDAS[[#This Row],[High risk (3)]]=1,"■","")</f>
        <v/>
      </c>
      <c r="W68" s="19" t="str">
        <f t="shared" si="3"/>
        <v>2. Bajo (Amarillo)</v>
      </c>
      <c r="X68" s="19">
        <f>COUNT(T_MEDIDAS[[#This Row],[Edificios públicos]:[Coordinación]])</f>
        <v>1</v>
      </c>
      <c r="Y68" s="19"/>
      <c r="Z68" s="19" t="str">
        <f>IF(T_MEDIDAS[[#This Row],[Edificios públicos]]=1,"Si","No")</f>
        <v>No</v>
      </c>
      <c r="AA68" s="19"/>
      <c r="AB68" s="19" t="str">
        <f>IF(T_MEDIDAS[[#This Row],[Planificación urbana]]=1,"Si","No")</f>
        <v>No</v>
      </c>
      <c r="AC68" s="19"/>
      <c r="AD68" s="19" t="str">
        <f>IF(T_MEDIDAS[[#This Row],[Cultura y deportes]],"Si","No")</f>
        <v>No</v>
      </c>
      <c r="AE68" s="19"/>
      <c r="AF68" s="19" t="str">
        <f>IF(T_MEDIDAS[[#This Row],[Turismo]],"Si","No")</f>
        <v>No</v>
      </c>
      <c r="AG68" s="19"/>
      <c r="AH68" s="19" t="str">
        <f>IF(T_MEDIDAS[[#This Row],[Riesgos laborales]],"Si","No")</f>
        <v>No</v>
      </c>
      <c r="AI68" s="19"/>
      <c r="AJ68" s="19" t="str">
        <f>IF(T_MEDIDAS[[#This Row],[Educación]],"Si","No")</f>
        <v>No</v>
      </c>
      <c r="AK68" s="19"/>
      <c r="AL68" s="19" t="str">
        <f>IF(T_MEDIDAS[[#This Row],[Servicios sociales]],"Si","No")</f>
        <v>No</v>
      </c>
      <c r="AM68" s="19"/>
      <c r="AN68" s="19" t="str">
        <f>IF(T_MEDIDAS[[#This Row],[Servicios de emergencia y policía]],"Si","No")</f>
        <v>No</v>
      </c>
      <c r="AO68" s="19"/>
      <c r="AP68" s="19" t="str">
        <f>IF(T_MEDIDAS[[#This Row],[Parques y jardines]],"Si","No")</f>
        <v>No</v>
      </c>
      <c r="AQ68" s="19"/>
      <c r="AR68" s="19" t="str">
        <f>IF(T_MEDIDAS[[#This Row],[Transporte]],"Si","No")</f>
        <v>No</v>
      </c>
      <c r="AS68" s="125">
        <v>1</v>
      </c>
      <c r="AT68" s="1" t="str">
        <f>IF(T_MEDIDAS[[#This Row],[Coordinación]],"Si","No")</f>
        <v>Si</v>
      </c>
      <c r="AU68" s="2">
        <v>1</v>
      </c>
      <c r="AV68" s="1">
        <v>1</v>
      </c>
      <c r="AW68" s="1">
        <v>1</v>
      </c>
      <c r="AX68" s="1">
        <v>1</v>
      </c>
      <c r="AY68" s="3">
        <v>1</v>
      </c>
      <c r="AZ68" s="43">
        <f>SUMPRODUCT($AT$15:$AX$15,T_MEDIDAS[[#This Row],[&lt;5.000]:[&gt;100.000]])</f>
        <v>1</v>
      </c>
      <c r="BA68" s="1">
        <v>1</v>
      </c>
      <c r="BB68" s="1">
        <v>1</v>
      </c>
      <c r="BC68" s="1">
        <v>1</v>
      </c>
      <c r="BD68" s="1">
        <v>1</v>
      </c>
      <c r="BE68" s="1">
        <v>1</v>
      </c>
      <c r="BF68" s="1">
        <v>1</v>
      </c>
      <c r="BG68" s="1">
        <v>1</v>
      </c>
      <c r="BH68" s="43" cm="1">
        <f t="array" ref="BH68">SUMPRODUCT(--((T_MEDIDAS[[#This Row],[Centros de salud o asistencia social]:[Escuelas / Centros de educación]] + $AZ$15:$BF$15)&gt;0))</f>
        <v>7</v>
      </c>
      <c r="BI68" s="44">
        <v>0</v>
      </c>
      <c r="BJ68" s="44">
        <v>0</v>
      </c>
      <c r="BK68" s="44">
        <v>1</v>
      </c>
      <c r="BL68" s="44">
        <v>1</v>
      </c>
      <c r="BM68" s="44">
        <v>3</v>
      </c>
      <c r="BN68" s="44">
        <v>2</v>
      </c>
      <c r="BO68" s="44">
        <v>3</v>
      </c>
      <c r="BP68" s="44">
        <v>2</v>
      </c>
      <c r="BQ68" s="47" cm="1">
        <f t="array" ref="BQ68">T_MEDIDAS[[#This Row],[Aplicación tamaño]]*(SUMPRODUCT(T_MEDIDAS[[#This Row],[C1_Refrigeración]:[C8_Tiempo]],TRANSPOSE('2.PONDERACIÓN'!$L$13:$L$20))+(ROW(C68)-ROW($C$18)+1)*0.0000000001)*100</f>
        <v>150.00000051000001</v>
      </c>
      <c r="BR68" s="84"/>
      <c r="BS68" s="90"/>
    </row>
    <row r="69" spans="1:71" ht="34.5" hidden="1">
      <c r="A69" s="84"/>
      <c r="B69" s="90"/>
      <c r="C69" s="84"/>
      <c r="D69" s="43">
        <f>IF(T_MEDIDAS[[#This Row],[Peso Criterios]]&lt;=0,"",_xlfn.RANK.EQ(T_MEDIDAS[[#This Row],[Peso Criterios]],T_MEDIDAS[Peso Criterios]))</f>
        <v>123</v>
      </c>
      <c r="E69" s="116" t="s">
        <v>258</v>
      </c>
      <c r="F69" s="126" t="s">
        <v>71</v>
      </c>
      <c r="G69" s="126" t="s">
        <v>50</v>
      </c>
      <c r="H69" s="126" t="s">
        <v>151</v>
      </c>
      <c r="I69" s="126" t="s">
        <v>259</v>
      </c>
      <c r="J69" s="126"/>
      <c r="K69" s="120">
        <v>1</v>
      </c>
      <c r="L69" s="19"/>
      <c r="M69" s="19"/>
      <c r="N69" s="121" t="str">
        <f t="shared" si="2"/>
        <v>€</v>
      </c>
      <c r="O69" s="122">
        <v>1</v>
      </c>
      <c r="P69" s="122">
        <v>1</v>
      </c>
      <c r="Q69" s="20"/>
      <c r="R69" s="122"/>
      <c r="S69" s="34" t="str">
        <f>IF(T_MEDIDAS[[#This Row],[No risk (0)]]=1,"■","")</f>
        <v>■</v>
      </c>
      <c r="T69" s="35" t="str">
        <f>IF(T_MEDIDAS[[#This Row],[Low risk (1)]]=1,"■","")</f>
        <v>■</v>
      </c>
      <c r="U69" s="36" t="str">
        <f>IF(T_MEDIDAS[[#This Row],[Medidaium risk (2)]]=1,"■","")</f>
        <v/>
      </c>
      <c r="V69" s="81" t="str">
        <f>IF(T_MEDIDAS[[#This Row],[High risk (3)]]=1,"■","")</f>
        <v/>
      </c>
      <c r="W69" s="19" t="str">
        <f t="shared" si="3"/>
        <v>2. Bajo (Amarillo)</v>
      </c>
      <c r="X69" s="19">
        <f>COUNT(T_MEDIDAS[[#This Row],[Edificios públicos]:[Coordinación]])</f>
        <v>1</v>
      </c>
      <c r="Y69" s="19"/>
      <c r="Z69" s="19" t="str">
        <f>IF(T_MEDIDAS[[#This Row],[Edificios públicos]]=1,"Si","No")</f>
        <v>No</v>
      </c>
      <c r="AA69" s="19"/>
      <c r="AB69" s="19" t="str">
        <f>IF(T_MEDIDAS[[#This Row],[Planificación urbana]]=1,"Si","No")</f>
        <v>No</v>
      </c>
      <c r="AC69" s="19"/>
      <c r="AD69" s="19" t="str">
        <f>IF(T_MEDIDAS[[#This Row],[Cultura y deportes]],"Si","No")</f>
        <v>No</v>
      </c>
      <c r="AE69" s="19"/>
      <c r="AF69" s="19" t="str">
        <f>IF(T_MEDIDAS[[#This Row],[Turismo]],"Si","No")</f>
        <v>No</v>
      </c>
      <c r="AG69" s="19"/>
      <c r="AH69" s="19" t="str">
        <f>IF(T_MEDIDAS[[#This Row],[Riesgos laborales]],"Si","No")</f>
        <v>No</v>
      </c>
      <c r="AI69" s="19"/>
      <c r="AJ69" s="19" t="str">
        <f>IF(T_MEDIDAS[[#This Row],[Educación]],"Si","No")</f>
        <v>No</v>
      </c>
      <c r="AK69" s="19"/>
      <c r="AL69" s="19" t="str">
        <f>IF(T_MEDIDAS[[#This Row],[Servicios sociales]],"Si","No")</f>
        <v>No</v>
      </c>
      <c r="AM69" s="19"/>
      <c r="AN69" s="19" t="str">
        <f>IF(T_MEDIDAS[[#This Row],[Servicios de emergencia y policía]],"Si","No")</f>
        <v>No</v>
      </c>
      <c r="AO69" s="19"/>
      <c r="AP69" s="19" t="str">
        <f>IF(T_MEDIDAS[[#This Row],[Parques y jardines]],"Si","No")</f>
        <v>No</v>
      </c>
      <c r="AQ69" s="19"/>
      <c r="AR69" s="19" t="str">
        <f>IF(T_MEDIDAS[[#This Row],[Transporte]],"Si","No")</f>
        <v>No</v>
      </c>
      <c r="AS69" s="125">
        <v>1</v>
      </c>
      <c r="AT69" s="1" t="str">
        <f>IF(T_MEDIDAS[[#This Row],[Coordinación]],"Si","No")</f>
        <v>Si</v>
      </c>
      <c r="AU69" s="2">
        <v>1</v>
      </c>
      <c r="AV69" s="1">
        <v>1</v>
      </c>
      <c r="AW69" s="1">
        <v>1</v>
      </c>
      <c r="AX69" s="1">
        <v>1</v>
      </c>
      <c r="AY69" s="3">
        <v>1</v>
      </c>
      <c r="AZ69" s="43">
        <f>SUMPRODUCT($AT$15:$AX$15,T_MEDIDAS[[#This Row],[&lt;5.000]:[&gt;100.000]])</f>
        <v>1</v>
      </c>
      <c r="BA69" s="1">
        <v>1</v>
      </c>
      <c r="BB69" s="1">
        <v>1</v>
      </c>
      <c r="BC69" s="1">
        <v>1</v>
      </c>
      <c r="BD69" s="1">
        <v>1</v>
      </c>
      <c r="BE69" s="1">
        <v>1</v>
      </c>
      <c r="BF69" s="1">
        <v>1</v>
      </c>
      <c r="BG69" s="1">
        <v>1</v>
      </c>
      <c r="BH69" s="43" cm="1">
        <f t="array" ref="BH69">SUMPRODUCT(--((T_MEDIDAS[[#This Row],[Centros de salud o asistencia social]:[Escuelas / Centros de educación]] + $AZ$15:$BF$15)&gt;0))</f>
        <v>7</v>
      </c>
      <c r="BI69" s="1">
        <v>0</v>
      </c>
      <c r="BJ69" s="1">
        <v>0</v>
      </c>
      <c r="BK69" s="1">
        <v>1</v>
      </c>
      <c r="BL69" s="1">
        <v>1</v>
      </c>
      <c r="BM69" s="1">
        <v>3</v>
      </c>
      <c r="BN69" s="1">
        <v>2</v>
      </c>
      <c r="BO69" s="1">
        <v>3</v>
      </c>
      <c r="BP69" s="1">
        <v>2</v>
      </c>
      <c r="BQ69" s="47" cm="1">
        <f t="array" ref="BQ69">T_MEDIDAS[[#This Row],[Aplicación tamaño]]*(SUMPRODUCT(T_MEDIDAS[[#This Row],[C1_Refrigeración]:[C8_Tiempo]],TRANSPOSE('2.PONDERACIÓN'!$L$13:$L$20))+(ROW(C69)-ROW($C$18)+1)*0.0000000001)*100</f>
        <v>150.00000051999999</v>
      </c>
      <c r="BR69" s="84"/>
      <c r="BS69" s="90"/>
    </row>
    <row r="70" spans="1:71" ht="34.5" hidden="1">
      <c r="A70" s="84"/>
      <c r="B70" s="90"/>
      <c r="C70" s="84"/>
      <c r="D70" s="43">
        <f>IF(T_MEDIDAS[[#This Row],[Peso Criterios]]&lt;=0,"",_xlfn.RANK.EQ(T_MEDIDAS[[#This Row],[Peso Criterios]],T_MEDIDAS[Peso Criterios]))</f>
        <v>129</v>
      </c>
      <c r="E70" s="116" t="s">
        <v>260</v>
      </c>
      <c r="F70" s="126" t="s">
        <v>71</v>
      </c>
      <c r="G70" s="126" t="s">
        <v>47</v>
      </c>
      <c r="H70" s="126" t="s">
        <v>157</v>
      </c>
      <c r="I70" s="126" t="s">
        <v>261</v>
      </c>
      <c r="J70" s="126"/>
      <c r="K70" s="120"/>
      <c r="L70" s="19">
        <v>1</v>
      </c>
      <c r="M70" s="19"/>
      <c r="N70" s="121" t="str">
        <f t="shared" si="2"/>
        <v>€€</v>
      </c>
      <c r="O70" s="122">
        <v>1</v>
      </c>
      <c r="P70" s="122">
        <v>1</v>
      </c>
      <c r="Q70" s="20"/>
      <c r="R70" s="122"/>
      <c r="S70" s="34" t="str">
        <f>IF(T_MEDIDAS[[#This Row],[No risk (0)]]=1,"■","")</f>
        <v>■</v>
      </c>
      <c r="T70" s="35" t="str">
        <f>IF(T_MEDIDAS[[#This Row],[Low risk (1)]]=1,"■","")</f>
        <v>■</v>
      </c>
      <c r="U70" s="36" t="str">
        <f>IF(T_MEDIDAS[[#This Row],[Medidaium risk (2)]]=1,"■","")</f>
        <v/>
      </c>
      <c r="V70" s="81" t="str">
        <f>IF(T_MEDIDAS[[#This Row],[High risk (3)]]=1,"■","")</f>
        <v/>
      </c>
      <c r="W70" s="19" t="str">
        <f t="shared" si="3"/>
        <v>2. Bajo (Amarillo)</v>
      </c>
      <c r="X70" s="19">
        <f>COUNT(T_MEDIDAS[[#This Row],[Edificios públicos]:[Coordinación]])</f>
        <v>4</v>
      </c>
      <c r="Y70" s="19">
        <v>1</v>
      </c>
      <c r="Z70" s="19" t="str">
        <f>IF(T_MEDIDAS[[#This Row],[Edificios públicos]]=1,"Si","No")</f>
        <v>Si</v>
      </c>
      <c r="AA70" s="19"/>
      <c r="AB70" s="19" t="str">
        <f>IF(T_MEDIDAS[[#This Row],[Planificación urbana]]=1,"Si","No")</f>
        <v>No</v>
      </c>
      <c r="AC70" s="19">
        <v>1</v>
      </c>
      <c r="AD70" s="19" t="str">
        <f>IF(T_MEDIDAS[[#This Row],[Cultura y deportes]],"Si","No")</f>
        <v>Si</v>
      </c>
      <c r="AE70" s="19"/>
      <c r="AF70" s="19" t="str">
        <f>IF(T_MEDIDAS[[#This Row],[Turismo]],"Si","No")</f>
        <v>No</v>
      </c>
      <c r="AG70" s="19"/>
      <c r="AH70" s="19" t="str">
        <f>IF(T_MEDIDAS[[#This Row],[Riesgos laborales]],"Si","No")</f>
        <v>No</v>
      </c>
      <c r="AI70" s="19">
        <v>1</v>
      </c>
      <c r="AJ70" s="19" t="str">
        <f>IF(T_MEDIDAS[[#This Row],[Educación]],"Si","No")</f>
        <v>Si</v>
      </c>
      <c r="AK70" s="19">
        <v>1</v>
      </c>
      <c r="AL70" s="19" t="str">
        <f>IF(T_MEDIDAS[[#This Row],[Servicios sociales]],"Si","No")</f>
        <v>Si</v>
      </c>
      <c r="AM70" s="19"/>
      <c r="AN70" s="19" t="str">
        <f>IF(T_MEDIDAS[[#This Row],[Servicios de emergencia y policía]],"Si","No")</f>
        <v>No</v>
      </c>
      <c r="AO70" s="19"/>
      <c r="AP70" s="19" t="str">
        <f>IF(T_MEDIDAS[[#This Row],[Parques y jardines]],"Si","No")</f>
        <v>No</v>
      </c>
      <c r="AQ70" s="19"/>
      <c r="AR70" s="19" t="str">
        <f>IF(T_MEDIDAS[[#This Row],[Transporte]],"Si","No")</f>
        <v>No</v>
      </c>
      <c r="AS70" s="125"/>
      <c r="AT70" s="1" t="str">
        <f>IF(T_MEDIDAS[[#This Row],[Coordinación]],"Si","No")</f>
        <v>No</v>
      </c>
      <c r="AU70" s="2">
        <v>1</v>
      </c>
      <c r="AV70" s="1">
        <v>1</v>
      </c>
      <c r="AW70" s="1">
        <v>1</v>
      </c>
      <c r="AX70" s="1">
        <v>1</v>
      </c>
      <c r="AY70" s="3">
        <v>1</v>
      </c>
      <c r="AZ70" s="43">
        <f>SUMPRODUCT($AT$15:$AX$15,T_MEDIDAS[[#This Row],[&lt;5.000]:[&gt;100.000]])</f>
        <v>1</v>
      </c>
      <c r="BA70" s="1">
        <v>1</v>
      </c>
      <c r="BB70" s="1">
        <v>1</v>
      </c>
      <c r="BC70" s="1">
        <v>1</v>
      </c>
      <c r="BD70" s="1">
        <v>1</v>
      </c>
      <c r="BE70" s="1">
        <v>1</v>
      </c>
      <c r="BF70" s="1">
        <v>1</v>
      </c>
      <c r="BG70" s="1">
        <v>1</v>
      </c>
      <c r="BH70" s="43" cm="1">
        <f t="array" ref="BH70">SUMPRODUCT(--((T_MEDIDAS[[#This Row],[Centros de salud o asistencia social]:[Escuelas / Centros de educación]] + $AZ$15:$BF$15)&gt;0))</f>
        <v>7</v>
      </c>
      <c r="BI70" s="44">
        <v>2</v>
      </c>
      <c r="BJ70" s="44">
        <v>0</v>
      </c>
      <c r="BK70" s="44">
        <v>1</v>
      </c>
      <c r="BL70" s="44">
        <v>2</v>
      </c>
      <c r="BM70" s="44">
        <v>1</v>
      </c>
      <c r="BN70" s="44">
        <v>1</v>
      </c>
      <c r="BO70" s="44">
        <v>2</v>
      </c>
      <c r="BP70" s="44">
        <v>2</v>
      </c>
      <c r="BQ70" s="47" cm="1">
        <f t="array" ref="BQ70">T_MEDIDAS[[#This Row],[Aplicación tamaño]]*(SUMPRODUCT(T_MEDIDAS[[#This Row],[C1_Refrigeración]:[C8_Tiempo]],TRANSPOSE('2.PONDERACIÓN'!$L$13:$L$20))+(ROW(C70)-ROW($C$18)+1)*0.0000000001)*100</f>
        <v>137.50000052999999</v>
      </c>
      <c r="BR70" s="84"/>
      <c r="BS70" s="90"/>
    </row>
    <row r="71" spans="1:71" ht="34.5" hidden="1">
      <c r="A71" s="84"/>
      <c r="B71" s="90"/>
      <c r="C71" s="84"/>
      <c r="D71" s="43">
        <f>IF(T_MEDIDAS[[#This Row],[Peso Criterios]]&lt;=0,"",_xlfn.RANK.EQ(T_MEDIDAS[[#This Row],[Peso Criterios]],T_MEDIDAS[Peso Criterios]))</f>
        <v>138</v>
      </c>
      <c r="E71" s="116" t="s">
        <v>262</v>
      </c>
      <c r="F71" s="126" t="s">
        <v>71</v>
      </c>
      <c r="G71" s="126" t="s">
        <v>47</v>
      </c>
      <c r="H71" s="126" t="s">
        <v>157</v>
      </c>
      <c r="I71" s="126" t="s">
        <v>263</v>
      </c>
      <c r="J71" s="126"/>
      <c r="K71" s="120"/>
      <c r="L71" s="19"/>
      <c r="M71" s="19">
        <v>1</v>
      </c>
      <c r="N71" s="121" t="str">
        <f t="shared" si="2"/>
        <v>€€€</v>
      </c>
      <c r="O71" s="122">
        <v>1</v>
      </c>
      <c r="P71" s="122"/>
      <c r="Q71" s="20"/>
      <c r="R71" s="122"/>
      <c r="S71" s="34" t="str">
        <f>IF(T_MEDIDAS[[#This Row],[No risk (0)]]=1,"■","")</f>
        <v>■</v>
      </c>
      <c r="T71" s="35" t="str">
        <f>IF(T_MEDIDAS[[#This Row],[Low risk (1)]]=1,"■","")</f>
        <v/>
      </c>
      <c r="U71" s="36" t="str">
        <f>IF(T_MEDIDAS[[#This Row],[Medidaium risk (2)]]=1,"■","")</f>
        <v/>
      </c>
      <c r="V71" s="81" t="str">
        <f>IF(T_MEDIDAS[[#This Row],[High risk (3)]]=1,"■","")</f>
        <v/>
      </c>
      <c r="W71" s="19" t="str">
        <f t="shared" si="3"/>
        <v>1. Sin Riesgo (Verde)</v>
      </c>
      <c r="X71" s="19">
        <f>COUNT(T_MEDIDAS[[#This Row],[Edificios públicos]:[Coordinación]])</f>
        <v>4</v>
      </c>
      <c r="Y71" s="19">
        <v>1</v>
      </c>
      <c r="Z71" s="19" t="str">
        <f>IF(T_MEDIDAS[[#This Row],[Edificios públicos]]=1,"Si","No")</f>
        <v>Si</v>
      </c>
      <c r="AA71" s="19"/>
      <c r="AB71" s="19" t="str">
        <f>IF(T_MEDIDAS[[#This Row],[Planificación urbana]]=1,"Si","No")</f>
        <v>No</v>
      </c>
      <c r="AC71" s="19">
        <v>1</v>
      </c>
      <c r="AD71" s="19" t="str">
        <f>IF(T_MEDIDAS[[#This Row],[Cultura y deportes]],"Si","No")</f>
        <v>Si</v>
      </c>
      <c r="AE71" s="19"/>
      <c r="AF71" s="19" t="str">
        <f>IF(T_MEDIDAS[[#This Row],[Turismo]],"Si","No")</f>
        <v>No</v>
      </c>
      <c r="AG71" s="19"/>
      <c r="AH71" s="19" t="str">
        <f>IF(T_MEDIDAS[[#This Row],[Riesgos laborales]],"Si","No")</f>
        <v>No</v>
      </c>
      <c r="AI71" s="19">
        <v>1</v>
      </c>
      <c r="AJ71" s="19" t="str">
        <f>IF(T_MEDIDAS[[#This Row],[Educación]],"Si","No")</f>
        <v>Si</v>
      </c>
      <c r="AK71" s="19">
        <v>1</v>
      </c>
      <c r="AL71" s="19" t="str">
        <f>IF(T_MEDIDAS[[#This Row],[Servicios sociales]],"Si","No")</f>
        <v>Si</v>
      </c>
      <c r="AM71" s="19"/>
      <c r="AN71" s="19" t="str">
        <f>IF(T_MEDIDAS[[#This Row],[Servicios de emergencia y policía]],"Si","No")</f>
        <v>No</v>
      </c>
      <c r="AO71" s="19"/>
      <c r="AP71" s="19" t="str">
        <f>IF(T_MEDIDAS[[#This Row],[Parques y jardines]],"Si","No")</f>
        <v>No</v>
      </c>
      <c r="AQ71" s="19"/>
      <c r="AR71" s="19" t="str">
        <f>IF(T_MEDIDAS[[#This Row],[Transporte]],"Si","No")</f>
        <v>No</v>
      </c>
      <c r="AS71" s="125"/>
      <c r="AT71" s="1" t="str">
        <f>IF(T_MEDIDAS[[#This Row],[Coordinación]],"Si","No")</f>
        <v>No</v>
      </c>
      <c r="AU71" s="2">
        <v>1</v>
      </c>
      <c r="AV71" s="1">
        <v>1</v>
      </c>
      <c r="AW71" s="1">
        <v>1</v>
      </c>
      <c r="AX71" s="1">
        <v>1</v>
      </c>
      <c r="AY71" s="3">
        <v>1</v>
      </c>
      <c r="AZ71" s="43">
        <f>SUMPRODUCT($AT$15:$AX$15,T_MEDIDAS[[#This Row],[&lt;5.000]:[&gt;100.000]])</f>
        <v>1</v>
      </c>
      <c r="BA71" s="1">
        <v>1</v>
      </c>
      <c r="BB71" s="1">
        <v>1</v>
      </c>
      <c r="BC71" s="1">
        <v>1</v>
      </c>
      <c r="BD71" s="1">
        <v>1</v>
      </c>
      <c r="BE71" s="1">
        <v>1</v>
      </c>
      <c r="BF71" s="1">
        <v>1</v>
      </c>
      <c r="BG71" s="1">
        <v>1</v>
      </c>
      <c r="BH71" s="43" cm="1">
        <f t="array" ref="BH71">SUMPRODUCT(--((T_MEDIDAS[[#This Row],[Centros de salud o asistencia social]:[Escuelas / Centros de educación]] + $AZ$15:$BF$15)&gt;0))</f>
        <v>7</v>
      </c>
      <c r="BI71" s="1">
        <v>1</v>
      </c>
      <c r="BJ71" s="1">
        <v>0</v>
      </c>
      <c r="BK71" s="1">
        <v>1</v>
      </c>
      <c r="BL71" s="1">
        <v>2</v>
      </c>
      <c r="BM71" s="1">
        <v>1</v>
      </c>
      <c r="BN71" s="1">
        <v>1</v>
      </c>
      <c r="BO71" s="1">
        <v>1</v>
      </c>
      <c r="BP71" s="1">
        <v>2</v>
      </c>
      <c r="BQ71" s="47" cm="1">
        <f t="array" ref="BQ71">T_MEDIDAS[[#This Row],[Aplicación tamaño]]*(SUMPRODUCT(T_MEDIDAS[[#This Row],[C1_Refrigeración]:[C8_Tiempo]],TRANSPOSE('2.PONDERACIÓN'!$L$13:$L$20))+(ROW(C71)-ROW($C$18)+1)*0.0000000001)*100</f>
        <v>112.50000054</v>
      </c>
      <c r="BR71" s="84"/>
      <c r="BS71" s="90"/>
    </row>
    <row r="72" spans="1:71" ht="34.5" hidden="1">
      <c r="A72" s="84"/>
      <c r="B72" s="90"/>
      <c r="C72" s="84"/>
      <c r="D72" s="43">
        <f>IF(T_MEDIDAS[[#This Row],[Peso Criterios]]&lt;=0,"",_xlfn.RANK.EQ(T_MEDIDAS[[#This Row],[Peso Criterios]],T_MEDIDAS[Peso Criterios]))</f>
        <v>137</v>
      </c>
      <c r="E72" s="116" t="s">
        <v>264</v>
      </c>
      <c r="F72" s="126" t="s">
        <v>71</v>
      </c>
      <c r="G72" s="126" t="s">
        <v>47</v>
      </c>
      <c r="H72" s="126" t="s">
        <v>157</v>
      </c>
      <c r="I72" s="126" t="s">
        <v>265</v>
      </c>
      <c r="J72" s="126"/>
      <c r="K72" s="120"/>
      <c r="L72" s="19"/>
      <c r="M72" s="19">
        <v>1</v>
      </c>
      <c r="N72" s="121" t="str">
        <f t="shared" si="2"/>
        <v>€€€</v>
      </c>
      <c r="O72" s="122">
        <v>1</v>
      </c>
      <c r="P72" s="122"/>
      <c r="Q72" s="20"/>
      <c r="R72" s="122"/>
      <c r="S72" s="34" t="str">
        <f>IF(T_MEDIDAS[[#This Row],[No risk (0)]]=1,"■","")</f>
        <v>■</v>
      </c>
      <c r="T72" s="35" t="str">
        <f>IF(T_MEDIDAS[[#This Row],[Low risk (1)]]=1,"■","")</f>
        <v/>
      </c>
      <c r="U72" s="36" t="str">
        <f>IF(T_MEDIDAS[[#This Row],[Medidaium risk (2)]]=1,"■","")</f>
        <v/>
      </c>
      <c r="V72" s="81" t="str">
        <f>IF(T_MEDIDAS[[#This Row],[High risk (3)]]=1,"■","")</f>
        <v/>
      </c>
      <c r="W72" s="19" t="str">
        <f t="shared" si="3"/>
        <v>1. Sin Riesgo (Verde)</v>
      </c>
      <c r="X72" s="19">
        <f>COUNT(T_MEDIDAS[[#This Row],[Edificios públicos]:[Coordinación]])</f>
        <v>1</v>
      </c>
      <c r="Y72" s="19"/>
      <c r="Z72" s="19" t="str">
        <f>IF(T_MEDIDAS[[#This Row],[Edificios públicos]]=1,"Si","No")</f>
        <v>No</v>
      </c>
      <c r="AA72" s="19"/>
      <c r="AB72" s="19" t="str">
        <f>IF(T_MEDIDAS[[#This Row],[Planificación urbana]]=1,"Si","No")</f>
        <v>No</v>
      </c>
      <c r="AC72" s="19"/>
      <c r="AD72" s="19" t="str">
        <f>IF(T_MEDIDAS[[#This Row],[Cultura y deportes]],"Si","No")</f>
        <v>No</v>
      </c>
      <c r="AE72" s="19"/>
      <c r="AF72" s="19" t="str">
        <f>IF(T_MEDIDAS[[#This Row],[Turismo]],"Si","No")</f>
        <v>No</v>
      </c>
      <c r="AG72" s="19"/>
      <c r="AH72" s="19" t="str">
        <f>IF(T_MEDIDAS[[#This Row],[Riesgos laborales]],"Si","No")</f>
        <v>No</v>
      </c>
      <c r="AI72" s="19"/>
      <c r="AJ72" s="19" t="str">
        <f>IF(T_MEDIDAS[[#This Row],[Educación]],"Si","No")</f>
        <v>No</v>
      </c>
      <c r="AK72" s="19"/>
      <c r="AL72" s="19" t="str">
        <f>IF(T_MEDIDAS[[#This Row],[Servicios sociales]],"Si","No")</f>
        <v>No</v>
      </c>
      <c r="AM72" s="19"/>
      <c r="AN72" s="19" t="str">
        <f>IF(T_MEDIDAS[[#This Row],[Servicios de emergencia y policía]],"Si","No")</f>
        <v>No</v>
      </c>
      <c r="AO72" s="19"/>
      <c r="AP72" s="19" t="str">
        <f>IF(T_MEDIDAS[[#This Row],[Parques y jardines]],"Si","No")</f>
        <v>No</v>
      </c>
      <c r="AQ72" s="19">
        <v>1</v>
      </c>
      <c r="AR72" s="19" t="str">
        <f>IF(T_MEDIDAS[[#This Row],[Transporte]],"Si","No")</f>
        <v>Si</v>
      </c>
      <c r="AS72" s="125"/>
      <c r="AT72" s="1" t="str">
        <f>IF(T_MEDIDAS[[#This Row],[Coordinación]],"Si","No")</f>
        <v>No</v>
      </c>
      <c r="AU72" s="2">
        <v>1</v>
      </c>
      <c r="AV72" s="1">
        <v>1</v>
      </c>
      <c r="AW72" s="1">
        <v>1</v>
      </c>
      <c r="AX72" s="1">
        <v>1</v>
      </c>
      <c r="AY72" s="3">
        <v>1</v>
      </c>
      <c r="AZ72" s="43">
        <f>SUMPRODUCT($AT$15:$AX$15,T_MEDIDAS[[#This Row],[&lt;5.000]:[&gt;100.000]])</f>
        <v>1</v>
      </c>
      <c r="BA72" s="1">
        <v>1</v>
      </c>
      <c r="BB72" s="1">
        <v>1</v>
      </c>
      <c r="BC72" s="1">
        <v>1</v>
      </c>
      <c r="BD72" s="1">
        <v>1</v>
      </c>
      <c r="BE72" s="1">
        <v>1</v>
      </c>
      <c r="BF72" s="1">
        <v>1</v>
      </c>
      <c r="BG72" s="1">
        <v>1</v>
      </c>
      <c r="BH72" s="43" cm="1">
        <f t="array" ref="BH72">SUMPRODUCT(--((T_MEDIDAS[[#This Row],[Centros de salud o asistencia social]:[Escuelas / Centros de educación]] + $AZ$15:$BF$15)&gt;0))</f>
        <v>7</v>
      </c>
      <c r="BI72" s="44">
        <v>0</v>
      </c>
      <c r="BJ72" s="44">
        <v>0</v>
      </c>
      <c r="BK72" s="44">
        <v>1</v>
      </c>
      <c r="BL72" s="44">
        <v>1</v>
      </c>
      <c r="BM72" s="44">
        <v>1</v>
      </c>
      <c r="BN72" s="44">
        <v>1</v>
      </c>
      <c r="BO72" s="44">
        <v>3</v>
      </c>
      <c r="BP72" s="44">
        <v>2</v>
      </c>
      <c r="BQ72" s="47" cm="1">
        <f t="array" ref="BQ72">T_MEDIDAS[[#This Row],[Aplicación tamaño]]*(SUMPRODUCT(T_MEDIDAS[[#This Row],[C1_Refrigeración]:[C8_Tiempo]],TRANSPOSE('2.PONDERACIÓN'!$L$13:$L$20))+(ROW(C72)-ROW($C$18)+1)*0.0000000001)*100</f>
        <v>112.50000055</v>
      </c>
      <c r="BR72" s="84"/>
      <c r="BS72" s="90"/>
    </row>
    <row r="73" spans="1:71" ht="34.5" hidden="1">
      <c r="A73" s="84"/>
      <c r="B73" s="90"/>
      <c r="C73" s="84"/>
      <c r="D73" s="43">
        <f>IF(T_MEDIDAS[[#This Row],[Peso Criterios]]&lt;=0,"",_xlfn.RANK.EQ(T_MEDIDAS[[#This Row],[Peso Criterios]],T_MEDIDAS[Peso Criterios]))</f>
        <v>128</v>
      </c>
      <c r="E73" s="116" t="s">
        <v>266</v>
      </c>
      <c r="F73" s="126" t="s">
        <v>71</v>
      </c>
      <c r="G73" s="126" t="s">
        <v>47</v>
      </c>
      <c r="H73" s="126" t="s">
        <v>154</v>
      </c>
      <c r="I73" s="126" t="s">
        <v>267</v>
      </c>
      <c r="J73" s="126"/>
      <c r="K73" s="120"/>
      <c r="L73" s="19">
        <v>1</v>
      </c>
      <c r="M73" s="19"/>
      <c r="N73" s="121" t="str">
        <f t="shared" si="2"/>
        <v>€€</v>
      </c>
      <c r="O73" s="122">
        <v>1</v>
      </c>
      <c r="P73" s="122">
        <v>1</v>
      </c>
      <c r="Q73" s="20"/>
      <c r="R73" s="122"/>
      <c r="S73" s="34" t="str">
        <f>IF(T_MEDIDAS[[#This Row],[No risk (0)]]=1,"■","")</f>
        <v>■</v>
      </c>
      <c r="T73" s="35" t="str">
        <f>IF(T_MEDIDAS[[#This Row],[Low risk (1)]]=1,"■","")</f>
        <v>■</v>
      </c>
      <c r="U73" s="36" t="str">
        <f>IF(T_MEDIDAS[[#This Row],[Medidaium risk (2)]]=1,"■","")</f>
        <v/>
      </c>
      <c r="V73" s="81" t="str">
        <f>IF(T_MEDIDAS[[#This Row],[High risk (3)]]=1,"■","")</f>
        <v/>
      </c>
      <c r="W73" s="19" t="str">
        <f t="shared" si="3"/>
        <v>2. Bajo (Amarillo)</v>
      </c>
      <c r="X73" s="19">
        <f>COUNT(T_MEDIDAS[[#This Row],[Edificios públicos]:[Coordinación]])</f>
        <v>0</v>
      </c>
      <c r="Y73" s="19"/>
      <c r="Z73" s="19" t="str">
        <f>IF(T_MEDIDAS[[#This Row],[Edificios públicos]]=1,"Si","No")</f>
        <v>No</v>
      </c>
      <c r="AA73" s="19"/>
      <c r="AB73" s="19" t="str">
        <f>IF(T_MEDIDAS[[#This Row],[Planificación urbana]]=1,"Si","No")</f>
        <v>No</v>
      </c>
      <c r="AC73" s="19"/>
      <c r="AD73" s="19" t="str">
        <f>IF(T_MEDIDAS[[#This Row],[Cultura y deportes]],"Si","No")</f>
        <v>No</v>
      </c>
      <c r="AE73" s="19"/>
      <c r="AF73" s="19" t="str">
        <f>IF(T_MEDIDAS[[#This Row],[Turismo]],"Si","No")</f>
        <v>No</v>
      </c>
      <c r="AG73" s="19"/>
      <c r="AH73" s="19" t="str">
        <f>IF(T_MEDIDAS[[#This Row],[Riesgos laborales]],"Si","No")</f>
        <v>No</v>
      </c>
      <c r="AI73" s="19"/>
      <c r="AJ73" s="19" t="str">
        <f>IF(T_MEDIDAS[[#This Row],[Educación]],"Si","No")</f>
        <v>No</v>
      </c>
      <c r="AK73" s="19"/>
      <c r="AL73" s="19" t="str">
        <f>IF(T_MEDIDAS[[#This Row],[Servicios sociales]],"Si","No")</f>
        <v>No</v>
      </c>
      <c r="AM73" s="19"/>
      <c r="AN73" s="19" t="str">
        <f>IF(T_MEDIDAS[[#This Row],[Servicios de emergencia y policía]],"Si","No")</f>
        <v>No</v>
      </c>
      <c r="AO73" s="19"/>
      <c r="AP73" s="19" t="str">
        <f>IF(T_MEDIDAS[[#This Row],[Parques y jardines]],"Si","No")</f>
        <v>No</v>
      </c>
      <c r="AQ73" s="19"/>
      <c r="AR73" s="19" t="str">
        <f>IF(T_MEDIDAS[[#This Row],[Transporte]],"Si","No")</f>
        <v>No</v>
      </c>
      <c r="AS73" s="125"/>
      <c r="AT73" s="1" t="str">
        <f>IF(T_MEDIDAS[[#This Row],[Coordinación]],"Si","No")</f>
        <v>No</v>
      </c>
      <c r="AU73" s="2">
        <v>1</v>
      </c>
      <c r="AV73" s="1">
        <v>1</v>
      </c>
      <c r="AW73" s="1">
        <v>1</v>
      </c>
      <c r="AX73" s="1">
        <v>1</v>
      </c>
      <c r="AY73" s="3">
        <v>1</v>
      </c>
      <c r="AZ73" s="43">
        <f>SUMPRODUCT($AT$15:$AX$15,T_MEDIDAS[[#This Row],[&lt;5.000]:[&gt;100.000]])</f>
        <v>1</v>
      </c>
      <c r="BA73" s="1">
        <v>1</v>
      </c>
      <c r="BB73" s="1">
        <v>1</v>
      </c>
      <c r="BC73" s="1">
        <v>1</v>
      </c>
      <c r="BD73" s="1">
        <v>1</v>
      </c>
      <c r="BE73" s="1">
        <v>1</v>
      </c>
      <c r="BF73" s="1">
        <v>1</v>
      </c>
      <c r="BG73" s="1">
        <v>1</v>
      </c>
      <c r="BH73" s="43" cm="1">
        <f t="array" ref="BH73">SUMPRODUCT(--((T_MEDIDAS[[#This Row],[Centros de salud o asistencia social]:[Escuelas / Centros de educación]] + $AZ$15:$BF$15)&gt;0))</f>
        <v>7</v>
      </c>
      <c r="BI73" s="1">
        <v>0</v>
      </c>
      <c r="BJ73" s="1">
        <v>0</v>
      </c>
      <c r="BK73" s="1">
        <v>1</v>
      </c>
      <c r="BL73" s="1">
        <v>2</v>
      </c>
      <c r="BM73" s="1">
        <v>2</v>
      </c>
      <c r="BN73" s="1">
        <v>2</v>
      </c>
      <c r="BO73" s="1">
        <v>2</v>
      </c>
      <c r="BP73" s="1">
        <v>2</v>
      </c>
      <c r="BQ73" s="47" cm="1">
        <f t="array" ref="BQ73">T_MEDIDAS[[#This Row],[Aplicación tamaño]]*(SUMPRODUCT(T_MEDIDAS[[#This Row],[C1_Refrigeración]:[C8_Tiempo]],TRANSPOSE('2.PONDERACIÓN'!$L$13:$L$20))+(ROW(C73)-ROW($C$18)+1)*0.0000000001)*100</f>
        <v>137.50000055999999</v>
      </c>
      <c r="BR73" s="84"/>
      <c r="BS73" s="90"/>
    </row>
    <row r="74" spans="1:71" ht="34.5" hidden="1">
      <c r="A74" s="84"/>
      <c r="B74" s="90"/>
      <c r="C74" s="84"/>
      <c r="D74" s="43">
        <f>IF(T_MEDIDAS[[#This Row],[Peso Criterios]]&lt;=0,"",_xlfn.RANK.EQ(T_MEDIDAS[[#This Row],[Peso Criterios]],T_MEDIDAS[Peso Criterios]))</f>
        <v>122</v>
      </c>
      <c r="E74" s="116" t="s">
        <v>268</v>
      </c>
      <c r="F74" s="117" t="s">
        <v>72</v>
      </c>
      <c r="G74" s="117" t="s">
        <v>50</v>
      </c>
      <c r="H74" s="117" t="s">
        <v>151</v>
      </c>
      <c r="I74" s="117" t="s">
        <v>269</v>
      </c>
      <c r="J74" s="117"/>
      <c r="K74" s="120"/>
      <c r="L74" s="19">
        <v>1</v>
      </c>
      <c r="M74" s="19"/>
      <c r="N74" s="121" t="str">
        <f t="shared" si="2"/>
        <v>€€</v>
      </c>
      <c r="O74" s="122"/>
      <c r="P74" s="122">
        <v>1</v>
      </c>
      <c r="Q74" s="20">
        <v>1</v>
      </c>
      <c r="R74" s="122">
        <v>1</v>
      </c>
      <c r="S74" s="34" t="str">
        <f>IF(T_MEDIDAS[[#This Row],[No risk (0)]]=1,"■","")</f>
        <v/>
      </c>
      <c r="T74" s="35" t="str">
        <f>IF(T_MEDIDAS[[#This Row],[Low risk (1)]]=1,"■","")</f>
        <v>■</v>
      </c>
      <c r="U74" s="36" t="str">
        <f>IF(T_MEDIDAS[[#This Row],[Medidaium risk (2)]]=1,"■","")</f>
        <v>■</v>
      </c>
      <c r="V74" s="81" t="str">
        <f>IF(T_MEDIDAS[[#This Row],[High risk (3)]]=1,"■","")</f>
        <v>■</v>
      </c>
      <c r="W74" s="19" t="str">
        <f t="shared" si="3"/>
        <v>4. Alto (Rojo)</v>
      </c>
      <c r="X74" s="19">
        <f>COUNT(T_MEDIDAS[[#This Row],[Edificios públicos]:[Coordinación]])</f>
        <v>2</v>
      </c>
      <c r="Y74" s="19">
        <v>1</v>
      </c>
      <c r="Z74" s="19" t="str">
        <f>IF(T_MEDIDAS[[#This Row],[Edificios públicos]]=1,"Si","No")</f>
        <v>Si</v>
      </c>
      <c r="AA74" s="19"/>
      <c r="AB74" s="19" t="str">
        <f>IF(T_MEDIDAS[[#This Row],[Planificación urbana]]=1,"Si","No")</f>
        <v>No</v>
      </c>
      <c r="AC74" s="19">
        <v>1</v>
      </c>
      <c r="AD74" s="19" t="str">
        <f>IF(T_MEDIDAS[[#This Row],[Cultura y deportes]],"Si","No")</f>
        <v>Si</v>
      </c>
      <c r="AE74" s="19"/>
      <c r="AF74" s="19" t="str">
        <f>IF(T_MEDIDAS[[#This Row],[Turismo]],"Si","No")</f>
        <v>No</v>
      </c>
      <c r="AG74" s="19"/>
      <c r="AH74" s="19" t="str">
        <f>IF(T_MEDIDAS[[#This Row],[Riesgos laborales]],"Si","No")</f>
        <v>No</v>
      </c>
      <c r="AI74" s="19"/>
      <c r="AJ74" s="19" t="str">
        <f>IF(T_MEDIDAS[[#This Row],[Educación]],"Si","No")</f>
        <v>No</v>
      </c>
      <c r="AK74" s="19"/>
      <c r="AL74" s="19" t="str">
        <f>IF(T_MEDIDAS[[#This Row],[Servicios sociales]],"Si","No")</f>
        <v>No</v>
      </c>
      <c r="AM74" s="19"/>
      <c r="AN74" s="19" t="str">
        <f>IF(T_MEDIDAS[[#This Row],[Servicios de emergencia y policía]],"Si","No")</f>
        <v>No</v>
      </c>
      <c r="AO74" s="19"/>
      <c r="AP74" s="19" t="str">
        <f>IF(T_MEDIDAS[[#This Row],[Parques y jardines]],"Si","No")</f>
        <v>No</v>
      </c>
      <c r="AQ74" s="19"/>
      <c r="AR74" s="19" t="str">
        <f>IF(T_MEDIDAS[[#This Row],[Transporte]],"Si","No")</f>
        <v>No</v>
      </c>
      <c r="AS74" s="125"/>
      <c r="AT74" s="1" t="str">
        <f>IF(T_MEDIDAS[[#This Row],[Coordinación]],"Si","No")</f>
        <v>No</v>
      </c>
      <c r="AU74" s="2">
        <v>1</v>
      </c>
      <c r="AV74" s="1">
        <v>1</v>
      </c>
      <c r="AW74" s="1">
        <v>1</v>
      </c>
      <c r="AX74" s="1">
        <v>1</v>
      </c>
      <c r="AY74" s="3">
        <v>1</v>
      </c>
      <c r="AZ74" s="43">
        <f>SUMPRODUCT($AT$15:$AX$15,T_MEDIDAS[[#This Row],[&lt;5.000]:[&gt;100.000]])</f>
        <v>1</v>
      </c>
      <c r="BA74" s="1">
        <v>1</v>
      </c>
      <c r="BB74" s="1">
        <v>1</v>
      </c>
      <c r="BC74" s="1">
        <v>1</v>
      </c>
      <c r="BD74" s="1">
        <v>1</v>
      </c>
      <c r="BE74" s="1">
        <v>1</v>
      </c>
      <c r="BF74" s="1">
        <v>1</v>
      </c>
      <c r="BG74" s="1">
        <v>1</v>
      </c>
      <c r="BH74" s="43" cm="1">
        <f t="array" ref="BH74">SUMPRODUCT(--((T_MEDIDAS[[#This Row],[Centros de salud o asistencia social]:[Escuelas / Centros de educación]] + $AZ$15:$BF$15)&gt;0))</f>
        <v>7</v>
      </c>
      <c r="BI74" s="44">
        <v>1</v>
      </c>
      <c r="BJ74" s="44">
        <v>0</v>
      </c>
      <c r="BK74" s="44">
        <v>2</v>
      </c>
      <c r="BL74" s="44">
        <v>1</v>
      </c>
      <c r="BM74" s="44">
        <v>2</v>
      </c>
      <c r="BN74" s="44">
        <v>1</v>
      </c>
      <c r="BO74" s="44">
        <v>2</v>
      </c>
      <c r="BP74" s="44">
        <v>3</v>
      </c>
      <c r="BQ74" s="47" cm="1">
        <f t="array" ref="BQ74">T_MEDIDAS[[#This Row],[Aplicación tamaño]]*(SUMPRODUCT(T_MEDIDAS[[#This Row],[C1_Refrigeración]:[C8_Tiempo]],TRANSPOSE('2.PONDERACIÓN'!$L$13:$L$20))+(ROW(C74)-ROW($C$18)+1)*0.0000000001)*100</f>
        <v>150.00000057</v>
      </c>
      <c r="BR74" s="84"/>
      <c r="BS74" s="90"/>
    </row>
    <row r="75" spans="1:71" ht="34.5" hidden="1">
      <c r="A75" s="84"/>
      <c r="B75" s="90"/>
      <c r="C75" s="84"/>
      <c r="D75" s="43">
        <f>IF(T_MEDIDAS[[#This Row],[Peso Criterios]]&lt;=0,"",_xlfn.RANK.EQ(T_MEDIDAS[[#This Row],[Peso Criterios]],T_MEDIDAS[Peso Criterios]))</f>
        <v>38</v>
      </c>
      <c r="E75" s="116" t="s">
        <v>270</v>
      </c>
      <c r="F75" s="117" t="s">
        <v>72</v>
      </c>
      <c r="G75" s="117" t="s">
        <v>47</v>
      </c>
      <c r="H75" s="117" t="s">
        <v>154</v>
      </c>
      <c r="I75" s="117" t="s">
        <v>271</v>
      </c>
      <c r="J75" s="117"/>
      <c r="K75" s="19"/>
      <c r="L75" s="19">
        <v>1</v>
      </c>
      <c r="M75" s="19"/>
      <c r="N75" s="121" t="str">
        <f t="shared" si="2"/>
        <v>€€</v>
      </c>
      <c r="O75" s="122"/>
      <c r="P75" s="122">
        <v>1</v>
      </c>
      <c r="Q75" s="20">
        <v>1</v>
      </c>
      <c r="R75" s="122">
        <v>1</v>
      </c>
      <c r="S75" s="34" t="str">
        <f>IF(T_MEDIDAS[[#This Row],[No risk (0)]]=1,"■","")</f>
        <v/>
      </c>
      <c r="T75" s="35" t="str">
        <f>IF(T_MEDIDAS[[#This Row],[Low risk (1)]]=1,"■","")</f>
        <v>■</v>
      </c>
      <c r="U75" s="36" t="str">
        <f>IF(T_MEDIDAS[[#This Row],[Medidaium risk (2)]]=1,"■","")</f>
        <v>■</v>
      </c>
      <c r="V75" s="81" t="str">
        <f>IF(T_MEDIDAS[[#This Row],[High risk (3)]]=1,"■","")</f>
        <v>■</v>
      </c>
      <c r="W75" s="19" t="str">
        <f t="shared" si="3"/>
        <v>4. Alto (Rojo)</v>
      </c>
      <c r="X75" s="19">
        <f>COUNT(T_MEDIDAS[[#This Row],[Edificios públicos]:[Coordinación]])</f>
        <v>1</v>
      </c>
      <c r="Y75" s="19">
        <v>1</v>
      </c>
      <c r="Z75" s="19" t="str">
        <f>IF(T_MEDIDAS[[#This Row],[Edificios públicos]]=1,"Si","No")</f>
        <v>Si</v>
      </c>
      <c r="AA75" s="19"/>
      <c r="AB75" s="19" t="str">
        <f>IF(T_MEDIDAS[[#This Row],[Planificación urbana]]=1,"Si","No")</f>
        <v>No</v>
      </c>
      <c r="AC75" s="19"/>
      <c r="AD75" s="19" t="str">
        <f>IF(T_MEDIDAS[[#This Row],[Cultura y deportes]],"Si","No")</f>
        <v>No</v>
      </c>
      <c r="AE75" s="19"/>
      <c r="AF75" s="19" t="str">
        <f>IF(T_MEDIDAS[[#This Row],[Turismo]],"Si","No")</f>
        <v>No</v>
      </c>
      <c r="AG75" s="19"/>
      <c r="AH75" s="19" t="str">
        <f>IF(T_MEDIDAS[[#This Row],[Riesgos laborales]],"Si","No")</f>
        <v>No</v>
      </c>
      <c r="AI75" s="19"/>
      <c r="AJ75" s="19" t="str">
        <f>IF(T_MEDIDAS[[#This Row],[Educación]],"Si","No")</f>
        <v>No</v>
      </c>
      <c r="AK75" s="19"/>
      <c r="AL75" s="19" t="str">
        <f>IF(T_MEDIDAS[[#This Row],[Servicios sociales]],"Si","No")</f>
        <v>No</v>
      </c>
      <c r="AM75" s="19"/>
      <c r="AN75" s="19" t="str">
        <f>IF(T_MEDIDAS[[#This Row],[Servicios de emergencia y policía]],"Si","No")</f>
        <v>No</v>
      </c>
      <c r="AO75" s="19"/>
      <c r="AP75" s="19" t="str">
        <f>IF(T_MEDIDAS[[#This Row],[Parques y jardines]],"Si","No")</f>
        <v>No</v>
      </c>
      <c r="AQ75" s="19"/>
      <c r="AR75" s="19" t="str">
        <f>IF(T_MEDIDAS[[#This Row],[Transporte]],"Si","No")</f>
        <v>No</v>
      </c>
      <c r="AS75" s="125"/>
      <c r="AT75" s="1" t="str">
        <f>IF(T_MEDIDAS[[#This Row],[Coordinación]],"Si","No")</f>
        <v>No</v>
      </c>
      <c r="AU75" s="2">
        <v>1</v>
      </c>
      <c r="AV75" s="1">
        <v>1</v>
      </c>
      <c r="AW75" s="1">
        <v>1</v>
      </c>
      <c r="AX75" s="1">
        <v>1</v>
      </c>
      <c r="AY75" s="3">
        <v>1</v>
      </c>
      <c r="AZ75" s="43">
        <f>SUMPRODUCT($AT$15:$AX$15,T_MEDIDAS[[#This Row],[&lt;5.000]:[&gt;100.000]])</f>
        <v>1</v>
      </c>
      <c r="BA75" s="1">
        <v>1</v>
      </c>
      <c r="BB75" s="1">
        <v>1</v>
      </c>
      <c r="BC75" s="1">
        <v>1</v>
      </c>
      <c r="BD75" s="1">
        <v>1</v>
      </c>
      <c r="BE75" s="1">
        <v>1</v>
      </c>
      <c r="BF75" s="1">
        <v>1</v>
      </c>
      <c r="BG75" s="1">
        <v>1</v>
      </c>
      <c r="BH75" s="43" cm="1">
        <f t="array" ref="BH75">SUMPRODUCT(--((T_MEDIDAS[[#This Row],[Centros de salud o asistencia social]:[Escuelas / Centros de educación]] + $AZ$15:$BF$15)&gt;0))</f>
        <v>7</v>
      </c>
      <c r="BI75" s="1">
        <v>3</v>
      </c>
      <c r="BJ75" s="1">
        <v>0</v>
      </c>
      <c r="BK75" s="1">
        <v>1</v>
      </c>
      <c r="BL75" s="1">
        <v>2</v>
      </c>
      <c r="BM75" s="1">
        <v>2</v>
      </c>
      <c r="BN75" s="1">
        <v>2</v>
      </c>
      <c r="BO75" s="1">
        <v>3</v>
      </c>
      <c r="BP75" s="1">
        <v>3</v>
      </c>
      <c r="BQ75" s="47" cm="1">
        <f t="array" ref="BQ75">T_MEDIDAS[[#This Row],[Aplicación tamaño]]*(SUMPRODUCT(T_MEDIDAS[[#This Row],[C1_Refrigeración]:[C8_Tiempo]],TRANSPOSE('2.PONDERACIÓN'!$L$13:$L$20))+(ROW(C75)-ROW($C$18)+1)*0.0000000001)*100</f>
        <v>200.00000058000001</v>
      </c>
      <c r="BR75" s="84"/>
      <c r="BS75" s="90"/>
    </row>
    <row r="76" spans="1:71" ht="34.5" hidden="1">
      <c r="A76" s="84"/>
      <c r="B76" s="90"/>
      <c r="C76" s="84"/>
      <c r="D76" s="43">
        <f>IF(T_MEDIDAS[[#This Row],[Peso Criterios]]&lt;=0,"",_xlfn.RANK.EQ(T_MEDIDAS[[#This Row],[Peso Criterios]],T_MEDIDAS[Peso Criterios]))</f>
        <v>37</v>
      </c>
      <c r="E76" s="116" t="s">
        <v>272</v>
      </c>
      <c r="F76" s="117" t="s">
        <v>72</v>
      </c>
      <c r="G76" s="117" t="s">
        <v>56</v>
      </c>
      <c r="H76" s="117" t="s">
        <v>273</v>
      </c>
      <c r="I76" s="117" t="s">
        <v>274</v>
      </c>
      <c r="J76" s="117"/>
      <c r="K76" s="19">
        <v>1</v>
      </c>
      <c r="L76" s="19"/>
      <c r="M76" s="19"/>
      <c r="N76" s="121" t="str">
        <f t="shared" si="2"/>
        <v>€</v>
      </c>
      <c r="O76" s="122"/>
      <c r="P76" s="122"/>
      <c r="Q76" s="20">
        <v>1</v>
      </c>
      <c r="R76" s="122">
        <v>1</v>
      </c>
      <c r="S76" s="34" t="str">
        <f>IF(T_MEDIDAS[[#This Row],[No risk (0)]]=1,"■","")</f>
        <v/>
      </c>
      <c r="T76" s="35" t="str">
        <f>IF(T_MEDIDAS[[#This Row],[Low risk (1)]]=1,"■","")</f>
        <v/>
      </c>
      <c r="U76" s="36" t="str">
        <f>IF(T_MEDIDAS[[#This Row],[Medidaium risk (2)]]=1,"■","")</f>
        <v>■</v>
      </c>
      <c r="V76" s="81" t="str">
        <f>IF(T_MEDIDAS[[#This Row],[High risk (3)]]=1,"■","")</f>
        <v>■</v>
      </c>
      <c r="W76" s="19" t="str">
        <f t="shared" si="3"/>
        <v>4. Alto (Rojo)</v>
      </c>
      <c r="X76" s="19">
        <f>COUNT(T_MEDIDAS[[#This Row],[Edificios públicos]:[Coordinación]])</f>
        <v>1</v>
      </c>
      <c r="Y76" s="19"/>
      <c r="Z76" s="19" t="str">
        <f>IF(T_MEDIDAS[[#This Row],[Edificios públicos]]=1,"Si","No")</f>
        <v>No</v>
      </c>
      <c r="AA76" s="19">
        <v>1</v>
      </c>
      <c r="AB76" s="19" t="str">
        <f>IF(T_MEDIDAS[[#This Row],[Planificación urbana]]=1,"Si","No")</f>
        <v>Si</v>
      </c>
      <c r="AC76" s="19"/>
      <c r="AD76" s="19" t="str">
        <f>IF(T_MEDIDAS[[#This Row],[Cultura y deportes]],"Si","No")</f>
        <v>No</v>
      </c>
      <c r="AE76" s="19"/>
      <c r="AF76" s="19" t="str">
        <f>IF(T_MEDIDAS[[#This Row],[Turismo]],"Si","No")</f>
        <v>No</v>
      </c>
      <c r="AG76" s="19"/>
      <c r="AH76" s="19" t="str">
        <f>IF(T_MEDIDAS[[#This Row],[Riesgos laborales]],"Si","No")</f>
        <v>No</v>
      </c>
      <c r="AI76" s="19"/>
      <c r="AJ76" s="19" t="str">
        <f>IF(T_MEDIDAS[[#This Row],[Educación]],"Si","No")</f>
        <v>No</v>
      </c>
      <c r="AK76" s="19"/>
      <c r="AL76" s="19" t="str">
        <f>IF(T_MEDIDAS[[#This Row],[Servicios sociales]],"Si","No")</f>
        <v>No</v>
      </c>
      <c r="AM76" s="19"/>
      <c r="AN76" s="19" t="str">
        <f>IF(T_MEDIDAS[[#This Row],[Servicios de emergencia y policía]],"Si","No")</f>
        <v>No</v>
      </c>
      <c r="AO76" s="19"/>
      <c r="AP76" s="19" t="str">
        <f>IF(T_MEDIDAS[[#This Row],[Parques y jardines]],"Si","No")</f>
        <v>No</v>
      </c>
      <c r="AQ76" s="19"/>
      <c r="AR76" s="19" t="str">
        <f>IF(T_MEDIDAS[[#This Row],[Transporte]],"Si","No")</f>
        <v>No</v>
      </c>
      <c r="AS76" s="125"/>
      <c r="AT76" s="1" t="str">
        <f>IF(T_MEDIDAS[[#This Row],[Coordinación]],"Si","No")</f>
        <v>No</v>
      </c>
      <c r="AU76" s="2">
        <v>1</v>
      </c>
      <c r="AV76" s="1">
        <v>1</v>
      </c>
      <c r="AW76" s="1">
        <v>1</v>
      </c>
      <c r="AX76" s="1">
        <v>1</v>
      </c>
      <c r="AY76" s="3">
        <v>1</v>
      </c>
      <c r="AZ76" s="43">
        <f>SUMPRODUCT($AT$15:$AX$15,T_MEDIDAS[[#This Row],[&lt;5.000]:[&gt;100.000]])</f>
        <v>1</v>
      </c>
      <c r="BA76" s="1">
        <v>1</v>
      </c>
      <c r="BB76" s="1">
        <v>1</v>
      </c>
      <c r="BC76" s="1">
        <v>1</v>
      </c>
      <c r="BD76" s="1">
        <v>1</v>
      </c>
      <c r="BE76" s="1">
        <v>1</v>
      </c>
      <c r="BF76" s="1">
        <v>1</v>
      </c>
      <c r="BG76" s="1">
        <v>1</v>
      </c>
      <c r="BH76" s="43" cm="1">
        <f t="array" ref="BH76">SUMPRODUCT(--((T_MEDIDAS[[#This Row],[Centros de salud o asistencia social]:[Escuelas / Centros de educación]] + $AZ$15:$BF$15)&gt;0))</f>
        <v>7</v>
      </c>
      <c r="BI76" s="44">
        <v>0</v>
      </c>
      <c r="BJ76" s="44">
        <v>0</v>
      </c>
      <c r="BK76" s="44">
        <v>3</v>
      </c>
      <c r="BL76" s="44">
        <v>2</v>
      </c>
      <c r="BM76" s="44">
        <v>3</v>
      </c>
      <c r="BN76" s="44">
        <v>2</v>
      </c>
      <c r="BO76" s="44">
        <v>3</v>
      </c>
      <c r="BP76" s="44">
        <v>3</v>
      </c>
      <c r="BQ76" s="47" cm="1">
        <f t="array" ref="BQ76">T_MEDIDAS[[#This Row],[Aplicación tamaño]]*(SUMPRODUCT(T_MEDIDAS[[#This Row],[C1_Refrigeración]:[C8_Tiempo]],TRANSPOSE('2.PONDERACIÓN'!$L$13:$L$20))+(ROW(C76)-ROW($C$18)+1)*0.0000000001)*100</f>
        <v>200.00000059000001</v>
      </c>
      <c r="BR76" s="84"/>
      <c r="BS76" s="90"/>
    </row>
    <row r="77" spans="1:71" ht="34.5" hidden="1">
      <c r="A77" s="84"/>
      <c r="B77" s="90"/>
      <c r="C77" s="84"/>
      <c r="D77" s="43">
        <f>IF(T_MEDIDAS[[#This Row],[Peso Criterios]]&lt;=0,"",_xlfn.RANK.EQ(T_MEDIDAS[[#This Row],[Peso Criterios]],T_MEDIDAS[Peso Criterios]))</f>
        <v>36</v>
      </c>
      <c r="E77" s="116" t="s">
        <v>275</v>
      </c>
      <c r="F77" s="117" t="s">
        <v>72</v>
      </c>
      <c r="G77" s="117" t="s">
        <v>56</v>
      </c>
      <c r="H77" s="117" t="s">
        <v>273</v>
      </c>
      <c r="I77" s="117" t="s">
        <v>276</v>
      </c>
      <c r="J77" s="117"/>
      <c r="K77" s="19">
        <v>1</v>
      </c>
      <c r="L77" s="19"/>
      <c r="M77" s="19"/>
      <c r="N77" s="121" t="str">
        <f t="shared" si="2"/>
        <v>€</v>
      </c>
      <c r="O77" s="122"/>
      <c r="P77" s="122">
        <v>1</v>
      </c>
      <c r="Q77" s="20">
        <v>1</v>
      </c>
      <c r="R77" s="122">
        <v>1</v>
      </c>
      <c r="S77" s="34" t="str">
        <f>IF(T_MEDIDAS[[#This Row],[No risk (0)]]=1,"■","")</f>
        <v/>
      </c>
      <c r="T77" s="35" t="str">
        <f>IF(T_MEDIDAS[[#This Row],[Low risk (1)]]=1,"■","")</f>
        <v>■</v>
      </c>
      <c r="U77" s="36" t="str">
        <f>IF(T_MEDIDAS[[#This Row],[Medidaium risk (2)]]=1,"■","")</f>
        <v>■</v>
      </c>
      <c r="V77" s="81" t="str">
        <f>IF(T_MEDIDAS[[#This Row],[High risk (3)]]=1,"■","")</f>
        <v>■</v>
      </c>
      <c r="W77" s="19" t="str">
        <f t="shared" si="3"/>
        <v>4. Alto (Rojo)</v>
      </c>
      <c r="X77" s="19">
        <f>COUNT(T_MEDIDAS[[#This Row],[Edificios públicos]:[Coordinación]])</f>
        <v>1</v>
      </c>
      <c r="Y77" s="19"/>
      <c r="Z77" s="19" t="str">
        <f>IF(T_MEDIDAS[[#This Row],[Edificios públicos]]=1,"Si","No")</f>
        <v>No</v>
      </c>
      <c r="AA77" s="19"/>
      <c r="AB77" s="19" t="str">
        <f>IF(T_MEDIDAS[[#This Row],[Planificación urbana]]=1,"Si","No")</f>
        <v>No</v>
      </c>
      <c r="AC77" s="19"/>
      <c r="AD77" s="19" t="str">
        <f>IF(T_MEDIDAS[[#This Row],[Cultura y deportes]],"Si","No")</f>
        <v>No</v>
      </c>
      <c r="AE77" s="19"/>
      <c r="AF77" s="19" t="str">
        <f>IF(T_MEDIDAS[[#This Row],[Turismo]],"Si","No")</f>
        <v>No</v>
      </c>
      <c r="AG77" s="19"/>
      <c r="AH77" s="19" t="str">
        <f>IF(T_MEDIDAS[[#This Row],[Riesgos laborales]],"Si","No")</f>
        <v>No</v>
      </c>
      <c r="AI77" s="19"/>
      <c r="AJ77" s="19" t="str">
        <f>IF(T_MEDIDAS[[#This Row],[Educación]],"Si","No")</f>
        <v>No</v>
      </c>
      <c r="AK77" s="19">
        <v>1</v>
      </c>
      <c r="AL77" s="19" t="str">
        <f>IF(T_MEDIDAS[[#This Row],[Servicios sociales]],"Si","No")</f>
        <v>Si</v>
      </c>
      <c r="AM77" s="19"/>
      <c r="AN77" s="19" t="str">
        <f>IF(T_MEDIDAS[[#This Row],[Servicios de emergencia y policía]],"Si","No")</f>
        <v>No</v>
      </c>
      <c r="AO77" s="19"/>
      <c r="AP77" s="19" t="str">
        <f>IF(T_MEDIDAS[[#This Row],[Parques y jardines]],"Si","No")</f>
        <v>No</v>
      </c>
      <c r="AQ77" s="19"/>
      <c r="AR77" s="19" t="str">
        <f>IF(T_MEDIDAS[[#This Row],[Transporte]],"Si","No")</f>
        <v>No</v>
      </c>
      <c r="AS77" s="125"/>
      <c r="AT77" s="1" t="str">
        <f>IF(T_MEDIDAS[[#This Row],[Coordinación]],"Si","No")</f>
        <v>No</v>
      </c>
      <c r="AU77" s="2">
        <v>1</v>
      </c>
      <c r="AV77" s="1">
        <v>1</v>
      </c>
      <c r="AW77" s="1">
        <v>1</v>
      </c>
      <c r="AX77" s="1">
        <v>1</v>
      </c>
      <c r="AY77" s="3">
        <v>1</v>
      </c>
      <c r="AZ77" s="43">
        <f>SUMPRODUCT($AT$15:$AX$15,T_MEDIDAS[[#This Row],[&lt;5.000]:[&gt;100.000]])</f>
        <v>1</v>
      </c>
      <c r="BA77" s="1"/>
      <c r="BB77" s="1">
        <v>1</v>
      </c>
      <c r="BC77" s="1">
        <v>1</v>
      </c>
      <c r="BD77" s="1">
        <v>1</v>
      </c>
      <c r="BE77" s="1">
        <v>1</v>
      </c>
      <c r="BF77" s="1">
        <v>1</v>
      </c>
      <c r="BG77" s="1">
        <v>1</v>
      </c>
      <c r="BH77" s="43" cm="1">
        <f t="array" ref="BH77">SUMPRODUCT(--((T_MEDIDAS[[#This Row],[Centros de salud o asistencia social]:[Escuelas / Centros de educación]] + $AZ$15:$BF$15)&gt;0))</f>
        <v>6</v>
      </c>
      <c r="BI77" s="1">
        <v>0</v>
      </c>
      <c r="BJ77" s="1">
        <v>0</v>
      </c>
      <c r="BK77" s="1">
        <v>3</v>
      </c>
      <c r="BL77" s="1">
        <v>2</v>
      </c>
      <c r="BM77" s="1">
        <v>3</v>
      </c>
      <c r="BN77" s="1">
        <v>2</v>
      </c>
      <c r="BO77" s="1">
        <v>3</v>
      </c>
      <c r="BP77" s="1">
        <v>3</v>
      </c>
      <c r="BQ77" s="47" cm="1">
        <f t="array" ref="BQ77">T_MEDIDAS[[#This Row],[Aplicación tamaño]]*(SUMPRODUCT(T_MEDIDAS[[#This Row],[C1_Refrigeración]:[C8_Tiempo]],TRANSPOSE('2.PONDERACIÓN'!$L$13:$L$20))+(ROW(C77)-ROW($C$18)+1)*0.0000000001)*100</f>
        <v>200.00000059999999</v>
      </c>
      <c r="BR77" s="84"/>
      <c r="BS77" s="90"/>
    </row>
    <row r="78" spans="1:71" ht="34.5" hidden="1">
      <c r="A78" s="84"/>
      <c r="B78" s="90"/>
      <c r="C78" s="84"/>
      <c r="D78" s="43">
        <f>IF(T_MEDIDAS[[#This Row],[Peso Criterios]]&lt;=0,"",_xlfn.RANK.EQ(T_MEDIDAS[[#This Row],[Peso Criterios]],T_MEDIDAS[Peso Criterios]))</f>
        <v>35</v>
      </c>
      <c r="E78" s="116" t="s">
        <v>277</v>
      </c>
      <c r="F78" s="117" t="s">
        <v>72</v>
      </c>
      <c r="G78" s="117" t="s">
        <v>47</v>
      </c>
      <c r="H78" s="117" t="s">
        <v>157</v>
      </c>
      <c r="I78" s="117" t="s">
        <v>278</v>
      </c>
      <c r="J78" s="117"/>
      <c r="K78" s="19">
        <v>1</v>
      </c>
      <c r="L78" s="19">
        <v>1</v>
      </c>
      <c r="M78" s="19"/>
      <c r="N78" s="121" t="str">
        <f t="shared" si="2"/>
        <v>€€</v>
      </c>
      <c r="O78" s="122"/>
      <c r="P78" s="122">
        <v>1</v>
      </c>
      <c r="Q78" s="20">
        <v>1</v>
      </c>
      <c r="R78" s="122">
        <v>1</v>
      </c>
      <c r="S78" s="34" t="str">
        <f>IF(T_MEDIDAS[[#This Row],[No risk (0)]]=1,"■","")</f>
        <v/>
      </c>
      <c r="T78" s="35" t="str">
        <f>IF(T_MEDIDAS[[#This Row],[Low risk (1)]]=1,"■","")</f>
        <v>■</v>
      </c>
      <c r="U78" s="36" t="str">
        <f>IF(T_MEDIDAS[[#This Row],[Medidaium risk (2)]]=1,"■","")</f>
        <v>■</v>
      </c>
      <c r="V78" s="81" t="str">
        <f>IF(T_MEDIDAS[[#This Row],[High risk (3)]]=1,"■","")</f>
        <v>■</v>
      </c>
      <c r="W78" s="19" t="str">
        <f t="shared" si="3"/>
        <v>4. Alto (Rojo)</v>
      </c>
      <c r="X78" s="19">
        <f>COUNT(T_MEDIDAS[[#This Row],[Edificios públicos]:[Coordinación]])</f>
        <v>3</v>
      </c>
      <c r="Y78" s="19">
        <v>1</v>
      </c>
      <c r="Z78" s="19" t="str">
        <f>IF(T_MEDIDAS[[#This Row],[Edificios públicos]]=1,"Si","No")</f>
        <v>Si</v>
      </c>
      <c r="AA78" s="19"/>
      <c r="AB78" s="19" t="str">
        <f>IF(T_MEDIDAS[[#This Row],[Planificación urbana]]=1,"Si","No")</f>
        <v>No</v>
      </c>
      <c r="AC78" s="19"/>
      <c r="AD78" s="19" t="str">
        <f>IF(T_MEDIDAS[[#This Row],[Cultura y deportes]],"Si","No")</f>
        <v>No</v>
      </c>
      <c r="AE78" s="19"/>
      <c r="AF78" s="19" t="str">
        <f>IF(T_MEDIDAS[[#This Row],[Turismo]],"Si","No")</f>
        <v>No</v>
      </c>
      <c r="AG78" s="19"/>
      <c r="AH78" s="19" t="str">
        <f>IF(T_MEDIDAS[[#This Row],[Riesgos laborales]],"Si","No")</f>
        <v>No</v>
      </c>
      <c r="AI78" s="19">
        <v>1</v>
      </c>
      <c r="AJ78" s="19" t="str">
        <f>IF(T_MEDIDAS[[#This Row],[Educación]],"Si","No")</f>
        <v>Si</v>
      </c>
      <c r="AK78" s="19">
        <v>1</v>
      </c>
      <c r="AL78" s="19" t="str">
        <f>IF(T_MEDIDAS[[#This Row],[Servicios sociales]],"Si","No")</f>
        <v>Si</v>
      </c>
      <c r="AM78" s="19"/>
      <c r="AN78" s="19" t="str">
        <f>IF(T_MEDIDAS[[#This Row],[Servicios de emergencia y policía]],"Si","No")</f>
        <v>No</v>
      </c>
      <c r="AO78" s="19"/>
      <c r="AP78" s="19" t="str">
        <f>IF(T_MEDIDAS[[#This Row],[Parques y jardines]],"Si","No")</f>
        <v>No</v>
      </c>
      <c r="AQ78" s="19"/>
      <c r="AR78" s="19" t="str">
        <f>IF(T_MEDIDAS[[#This Row],[Transporte]],"Si","No")</f>
        <v>No</v>
      </c>
      <c r="AS78" s="125"/>
      <c r="AT78" s="1" t="str">
        <f>IF(T_MEDIDAS[[#This Row],[Coordinación]],"Si","No")</f>
        <v>No</v>
      </c>
      <c r="AU78" s="2">
        <v>1</v>
      </c>
      <c r="AV78" s="1">
        <v>1</v>
      </c>
      <c r="AW78" s="1">
        <v>1</v>
      </c>
      <c r="AX78" s="1">
        <v>1</v>
      </c>
      <c r="AY78" s="3">
        <v>1</v>
      </c>
      <c r="AZ78" s="43">
        <f>SUMPRODUCT($AT$15:$AX$15,T_MEDIDAS[[#This Row],[&lt;5.000]:[&gt;100.000]])</f>
        <v>1</v>
      </c>
      <c r="BA78" s="1"/>
      <c r="BB78" s="1"/>
      <c r="BC78" s="1">
        <v>1</v>
      </c>
      <c r="BD78" s="1">
        <v>1</v>
      </c>
      <c r="BE78" s="1">
        <v>1</v>
      </c>
      <c r="BF78" s="1">
        <v>1</v>
      </c>
      <c r="BG78" s="1">
        <v>1</v>
      </c>
      <c r="BH78" s="43" cm="1">
        <f t="array" ref="BH78">SUMPRODUCT(--((T_MEDIDAS[[#This Row],[Centros de salud o asistencia social]:[Escuelas / Centros de educación]] + $AZ$15:$BF$15)&gt;0))</f>
        <v>5</v>
      </c>
      <c r="BI78" s="44">
        <v>2</v>
      </c>
      <c r="BJ78" s="44">
        <v>0</v>
      </c>
      <c r="BK78" s="44">
        <v>3</v>
      </c>
      <c r="BL78" s="44">
        <v>3</v>
      </c>
      <c r="BM78" s="44">
        <v>2</v>
      </c>
      <c r="BN78" s="44">
        <v>2</v>
      </c>
      <c r="BO78" s="44">
        <v>2</v>
      </c>
      <c r="BP78" s="44">
        <v>2</v>
      </c>
      <c r="BQ78" s="47" cm="1">
        <f t="array" ref="BQ78">T_MEDIDAS[[#This Row],[Aplicación tamaño]]*(SUMPRODUCT(T_MEDIDAS[[#This Row],[C1_Refrigeración]:[C8_Tiempo]],TRANSPOSE('2.PONDERACIÓN'!$L$13:$L$20))+(ROW(C78)-ROW($C$18)+1)*0.0000000001)*100</f>
        <v>200.00000061</v>
      </c>
      <c r="BR78" s="84"/>
      <c r="BS78" s="90"/>
    </row>
    <row r="79" spans="1:71" ht="34.5" hidden="1">
      <c r="A79" s="84"/>
      <c r="B79" s="90"/>
      <c r="C79" s="84"/>
      <c r="D79" s="43">
        <f>IF(T_MEDIDAS[[#This Row],[Peso Criterios]]&lt;=0,"",_xlfn.RANK.EQ(T_MEDIDAS[[#This Row],[Peso Criterios]],T_MEDIDAS[Peso Criterios]))</f>
        <v>75</v>
      </c>
      <c r="E79" s="116" t="s">
        <v>279</v>
      </c>
      <c r="F79" s="117" t="s">
        <v>72</v>
      </c>
      <c r="G79" s="117" t="s">
        <v>47</v>
      </c>
      <c r="H79" s="117" t="s">
        <v>157</v>
      </c>
      <c r="I79" s="117" t="s">
        <v>280</v>
      </c>
      <c r="J79" s="117"/>
      <c r="K79" s="19">
        <v>1</v>
      </c>
      <c r="L79" s="19">
        <v>1</v>
      </c>
      <c r="M79" s="19"/>
      <c r="N79" s="121" t="str">
        <f t="shared" si="2"/>
        <v>€€</v>
      </c>
      <c r="O79" s="122"/>
      <c r="P79" s="122"/>
      <c r="Q79" s="20">
        <v>1</v>
      </c>
      <c r="R79" s="122">
        <v>1</v>
      </c>
      <c r="S79" s="34" t="str">
        <f>IF(T_MEDIDAS[[#This Row],[No risk (0)]]=1,"■","")</f>
        <v/>
      </c>
      <c r="T79" s="35" t="str">
        <f>IF(T_MEDIDAS[[#This Row],[Low risk (1)]]=1,"■","")</f>
        <v/>
      </c>
      <c r="U79" s="36" t="str">
        <f>IF(T_MEDIDAS[[#This Row],[Medidaium risk (2)]]=1,"■","")</f>
        <v>■</v>
      </c>
      <c r="V79" s="81" t="str">
        <f>IF(T_MEDIDAS[[#This Row],[High risk (3)]]=1,"■","")</f>
        <v>■</v>
      </c>
      <c r="W79" s="19" t="str">
        <f t="shared" si="3"/>
        <v>4. Alto (Rojo)</v>
      </c>
      <c r="X79" s="19">
        <f>COUNT(T_MEDIDAS[[#This Row],[Edificios públicos]:[Coordinación]])</f>
        <v>2</v>
      </c>
      <c r="Y79" s="19">
        <v>1</v>
      </c>
      <c r="Z79" s="19" t="str">
        <f>IF(T_MEDIDAS[[#This Row],[Edificios públicos]]=1,"Si","No")</f>
        <v>Si</v>
      </c>
      <c r="AA79" s="19"/>
      <c r="AB79" s="19" t="str">
        <f>IF(T_MEDIDAS[[#This Row],[Planificación urbana]]=1,"Si","No")</f>
        <v>No</v>
      </c>
      <c r="AC79" s="19"/>
      <c r="AD79" s="19" t="str">
        <f>IF(T_MEDIDAS[[#This Row],[Cultura y deportes]],"Si","No")</f>
        <v>No</v>
      </c>
      <c r="AE79" s="19"/>
      <c r="AF79" s="19" t="str">
        <f>IF(T_MEDIDAS[[#This Row],[Turismo]],"Si","No")</f>
        <v>No</v>
      </c>
      <c r="AG79" s="19"/>
      <c r="AH79" s="19" t="str">
        <f>IF(T_MEDIDAS[[#This Row],[Riesgos laborales]],"Si","No")</f>
        <v>No</v>
      </c>
      <c r="AI79" s="19">
        <v>1</v>
      </c>
      <c r="AJ79" s="19" t="str">
        <f>IF(T_MEDIDAS[[#This Row],[Educación]],"Si","No")</f>
        <v>Si</v>
      </c>
      <c r="AK79" s="19"/>
      <c r="AL79" s="19" t="str">
        <f>IF(T_MEDIDAS[[#This Row],[Servicios sociales]],"Si","No")</f>
        <v>No</v>
      </c>
      <c r="AM79" s="19"/>
      <c r="AN79" s="19" t="str">
        <f>IF(T_MEDIDAS[[#This Row],[Servicios de emergencia y policía]],"Si","No")</f>
        <v>No</v>
      </c>
      <c r="AO79" s="19"/>
      <c r="AP79" s="19" t="str">
        <f>IF(T_MEDIDAS[[#This Row],[Parques y jardines]],"Si","No")</f>
        <v>No</v>
      </c>
      <c r="AQ79" s="19"/>
      <c r="AR79" s="19" t="str">
        <f>IF(T_MEDIDAS[[#This Row],[Transporte]],"Si","No")</f>
        <v>No</v>
      </c>
      <c r="AS79" s="125"/>
      <c r="AT79" s="1" t="str">
        <f>IF(T_MEDIDAS[[#This Row],[Coordinación]],"Si","No")</f>
        <v>No</v>
      </c>
      <c r="AU79" s="2">
        <v>1</v>
      </c>
      <c r="AV79" s="1">
        <v>1</v>
      </c>
      <c r="AW79" s="1">
        <v>1</v>
      </c>
      <c r="AX79" s="1">
        <v>1</v>
      </c>
      <c r="AY79" s="3">
        <v>1</v>
      </c>
      <c r="AZ79" s="43">
        <f>SUMPRODUCT($AT$15:$AX$15,T_MEDIDAS[[#This Row],[&lt;5.000]:[&gt;100.000]])</f>
        <v>1</v>
      </c>
      <c r="BA79" s="1">
        <v>1</v>
      </c>
      <c r="BB79" s="1">
        <v>1</v>
      </c>
      <c r="BC79" s="1">
        <v>1</v>
      </c>
      <c r="BD79" s="1">
        <v>1</v>
      </c>
      <c r="BE79" s="1">
        <v>1</v>
      </c>
      <c r="BF79" s="1">
        <v>1</v>
      </c>
      <c r="BG79" s="1">
        <v>1</v>
      </c>
      <c r="BH79" s="43" cm="1">
        <f t="array" ref="BH79">SUMPRODUCT(--((T_MEDIDAS[[#This Row],[Centros de salud o asistencia social]:[Escuelas / Centros de educación]] + $AZ$15:$BF$15)&gt;0))</f>
        <v>7</v>
      </c>
      <c r="BI79" s="1">
        <v>2</v>
      </c>
      <c r="BJ79" s="1">
        <v>0</v>
      </c>
      <c r="BK79" s="1">
        <v>1</v>
      </c>
      <c r="BL79" s="1">
        <v>3</v>
      </c>
      <c r="BM79" s="1">
        <v>2</v>
      </c>
      <c r="BN79" s="1">
        <v>1</v>
      </c>
      <c r="BO79" s="1">
        <v>3</v>
      </c>
      <c r="BP79" s="1">
        <v>3</v>
      </c>
      <c r="BQ79" s="47" cm="1">
        <f t="array" ref="BQ79">T_MEDIDAS[[#This Row],[Aplicación tamaño]]*(SUMPRODUCT(T_MEDIDAS[[#This Row],[C1_Refrigeración]:[C8_Tiempo]],TRANSPOSE('2.PONDERACIÓN'!$L$13:$L$20))+(ROW(C79)-ROW($C$18)+1)*0.0000000001)*100</f>
        <v>187.50000062000001</v>
      </c>
      <c r="BR79" s="84"/>
      <c r="BS79" s="90"/>
    </row>
    <row r="80" spans="1:71" ht="34.5" hidden="1">
      <c r="A80" s="84"/>
      <c r="B80" s="90"/>
      <c r="C80" s="84"/>
      <c r="D80" s="43">
        <f>IF(T_MEDIDAS[[#This Row],[Peso Criterios]]&lt;=0,"",_xlfn.RANK.EQ(T_MEDIDAS[[#This Row],[Peso Criterios]],T_MEDIDAS[Peso Criterios]))</f>
        <v>111</v>
      </c>
      <c r="E80" s="116" t="s">
        <v>281</v>
      </c>
      <c r="F80" s="117" t="s">
        <v>72</v>
      </c>
      <c r="G80" s="117" t="s">
        <v>50</v>
      </c>
      <c r="H80" s="117" t="s">
        <v>151</v>
      </c>
      <c r="I80" s="117" t="s">
        <v>282</v>
      </c>
      <c r="J80" s="117"/>
      <c r="K80" s="19">
        <v>1</v>
      </c>
      <c r="L80" s="19"/>
      <c r="M80" s="19"/>
      <c r="N80" s="121" t="str">
        <f t="shared" si="2"/>
        <v>€</v>
      </c>
      <c r="O80" s="122"/>
      <c r="P80" s="122"/>
      <c r="Q80" s="20">
        <v>1</v>
      </c>
      <c r="R80" s="122">
        <v>1</v>
      </c>
      <c r="S80" s="34" t="str">
        <f>IF(T_MEDIDAS[[#This Row],[No risk (0)]]=1,"■","")</f>
        <v/>
      </c>
      <c r="T80" s="35" t="str">
        <f>IF(T_MEDIDAS[[#This Row],[Low risk (1)]]=1,"■","")</f>
        <v/>
      </c>
      <c r="U80" s="36" t="str">
        <f>IF(T_MEDIDAS[[#This Row],[Medidaium risk (2)]]=1,"■","")</f>
        <v>■</v>
      </c>
      <c r="V80" s="81" t="str">
        <f>IF(T_MEDIDAS[[#This Row],[High risk (3)]]=1,"■","")</f>
        <v>■</v>
      </c>
      <c r="W80" s="19" t="str">
        <f t="shared" si="3"/>
        <v>4. Alto (Rojo)</v>
      </c>
      <c r="X80" s="19">
        <f>COUNT(T_MEDIDAS[[#This Row],[Edificios públicos]:[Coordinación]])</f>
        <v>1</v>
      </c>
      <c r="Y80" s="19"/>
      <c r="Z80" s="19" t="str">
        <f>IF(T_MEDIDAS[[#This Row],[Edificios públicos]]=1,"Si","No")</f>
        <v>No</v>
      </c>
      <c r="AA80" s="19"/>
      <c r="AB80" s="19" t="str">
        <f>IF(T_MEDIDAS[[#This Row],[Planificación urbana]]=1,"Si","No")</f>
        <v>No</v>
      </c>
      <c r="AC80" s="19"/>
      <c r="AD80" s="19" t="str">
        <f>IF(T_MEDIDAS[[#This Row],[Cultura y deportes]],"Si","No")</f>
        <v>No</v>
      </c>
      <c r="AE80" s="19"/>
      <c r="AF80" s="19" t="str">
        <f>IF(T_MEDIDAS[[#This Row],[Turismo]],"Si","No")</f>
        <v>No</v>
      </c>
      <c r="AG80" s="19"/>
      <c r="AH80" s="19" t="str">
        <f>IF(T_MEDIDAS[[#This Row],[Riesgos laborales]],"Si","No")</f>
        <v>No</v>
      </c>
      <c r="AI80" s="19"/>
      <c r="AJ80" s="19" t="str">
        <f>IF(T_MEDIDAS[[#This Row],[Educación]],"Si","No")</f>
        <v>No</v>
      </c>
      <c r="AK80" s="19"/>
      <c r="AL80" s="19" t="str">
        <f>IF(T_MEDIDAS[[#This Row],[Servicios sociales]],"Si","No")</f>
        <v>No</v>
      </c>
      <c r="AM80" s="19"/>
      <c r="AN80" s="19" t="str">
        <f>IF(T_MEDIDAS[[#This Row],[Servicios de emergencia y policía]],"Si","No")</f>
        <v>No</v>
      </c>
      <c r="AO80" s="19"/>
      <c r="AP80" s="19" t="str">
        <f>IF(T_MEDIDAS[[#This Row],[Parques y jardines]],"Si","No")</f>
        <v>No</v>
      </c>
      <c r="AQ80" s="19">
        <v>1</v>
      </c>
      <c r="AR80" s="19" t="str">
        <f>IF(T_MEDIDAS[[#This Row],[Transporte]],"Si","No")</f>
        <v>Si</v>
      </c>
      <c r="AS80" s="125"/>
      <c r="AT80" s="1" t="str">
        <f>IF(T_MEDIDAS[[#This Row],[Coordinación]],"Si","No")</f>
        <v>No</v>
      </c>
      <c r="AU80" s="2"/>
      <c r="AV80" s="1"/>
      <c r="AW80" s="1"/>
      <c r="AX80" s="1">
        <v>1</v>
      </c>
      <c r="AY80" s="3">
        <v>1</v>
      </c>
      <c r="AZ80" s="43">
        <f>SUMPRODUCT($AT$15:$AX$15,T_MEDIDAS[[#This Row],[&lt;5.000]:[&gt;100.000]])</f>
        <v>1</v>
      </c>
      <c r="BA80" s="1">
        <v>1</v>
      </c>
      <c r="BB80" s="1">
        <v>1</v>
      </c>
      <c r="BC80" s="1">
        <v>1</v>
      </c>
      <c r="BD80" s="1">
        <v>1</v>
      </c>
      <c r="BE80" s="1">
        <v>1</v>
      </c>
      <c r="BF80" s="1"/>
      <c r="BG80" s="1">
        <v>1</v>
      </c>
      <c r="BH80" s="43" cm="1">
        <f t="array" ref="BH80">SUMPRODUCT(--((T_MEDIDAS[[#This Row],[Centros de salud o asistencia social]:[Escuelas / Centros de educación]] + $AZ$15:$BF$15)&gt;0))</f>
        <v>6</v>
      </c>
      <c r="BI80" s="44">
        <v>0</v>
      </c>
      <c r="BJ80" s="44">
        <v>0</v>
      </c>
      <c r="BK80" s="44">
        <v>2</v>
      </c>
      <c r="BL80" s="44">
        <v>2</v>
      </c>
      <c r="BM80" s="44">
        <v>3</v>
      </c>
      <c r="BN80" s="44">
        <v>2</v>
      </c>
      <c r="BO80" s="44">
        <v>1</v>
      </c>
      <c r="BP80" s="44">
        <v>3</v>
      </c>
      <c r="BQ80" s="47" cm="1">
        <f t="array" ref="BQ80">T_MEDIDAS[[#This Row],[Aplicación tamaño]]*(SUMPRODUCT(T_MEDIDAS[[#This Row],[C1_Refrigeración]:[C8_Tiempo]],TRANSPOSE('2.PONDERACIÓN'!$L$13:$L$20))+(ROW(C80)-ROW($C$18)+1)*0.0000000001)*100</f>
        <v>162.50000063000002</v>
      </c>
      <c r="BR80" s="84"/>
      <c r="BS80" s="90"/>
    </row>
    <row r="81" spans="1:71" ht="34.5" hidden="1">
      <c r="A81" s="84"/>
      <c r="B81" s="90"/>
      <c r="C81" s="84"/>
      <c r="D81" s="43">
        <f>IF(T_MEDIDAS[[#This Row],[Peso Criterios]]&lt;=0,"",_xlfn.RANK.EQ(T_MEDIDAS[[#This Row],[Peso Criterios]],T_MEDIDAS[Peso Criterios]))</f>
        <v>121</v>
      </c>
      <c r="E81" s="116" t="s">
        <v>283</v>
      </c>
      <c r="F81" s="117" t="s">
        <v>72</v>
      </c>
      <c r="G81" s="117" t="s">
        <v>56</v>
      </c>
      <c r="H81" s="117" t="s">
        <v>273</v>
      </c>
      <c r="I81" s="117" t="s">
        <v>284</v>
      </c>
      <c r="J81" s="117"/>
      <c r="K81" s="19">
        <v>1</v>
      </c>
      <c r="L81" s="19"/>
      <c r="M81" s="19"/>
      <c r="N81" s="121" t="str">
        <f t="shared" si="2"/>
        <v>€</v>
      </c>
      <c r="O81" s="122"/>
      <c r="P81" s="122"/>
      <c r="Q81" s="20">
        <v>1</v>
      </c>
      <c r="R81" s="122">
        <v>1</v>
      </c>
      <c r="S81" s="34" t="str">
        <f>IF(T_MEDIDAS[[#This Row],[No risk (0)]]=1,"■","")</f>
        <v/>
      </c>
      <c r="T81" s="35" t="str">
        <f>IF(T_MEDIDAS[[#This Row],[Low risk (1)]]=1,"■","")</f>
        <v/>
      </c>
      <c r="U81" s="36" t="str">
        <f>IF(T_MEDIDAS[[#This Row],[Medidaium risk (2)]]=1,"■","")</f>
        <v>■</v>
      </c>
      <c r="V81" s="81" t="str">
        <f>IF(T_MEDIDAS[[#This Row],[High risk (3)]]=1,"■","")</f>
        <v>■</v>
      </c>
      <c r="W81" s="19" t="str">
        <f t="shared" si="3"/>
        <v>4. Alto (Rojo)</v>
      </c>
      <c r="X81" s="19">
        <f>COUNT(T_MEDIDAS[[#This Row],[Edificios públicos]:[Coordinación]])</f>
        <v>1</v>
      </c>
      <c r="Y81" s="19"/>
      <c r="Z81" s="19" t="str">
        <f>IF(T_MEDIDAS[[#This Row],[Edificios públicos]]=1,"Si","No")</f>
        <v>No</v>
      </c>
      <c r="AA81" s="19"/>
      <c r="AB81" s="19" t="str">
        <f>IF(T_MEDIDAS[[#This Row],[Planificación urbana]]=1,"Si","No")</f>
        <v>No</v>
      </c>
      <c r="AC81" s="19"/>
      <c r="AD81" s="19" t="str">
        <f>IF(T_MEDIDAS[[#This Row],[Cultura y deportes]],"Si","No")</f>
        <v>No</v>
      </c>
      <c r="AE81" s="19"/>
      <c r="AF81" s="19" t="str">
        <f>IF(T_MEDIDAS[[#This Row],[Turismo]],"Si","No")</f>
        <v>No</v>
      </c>
      <c r="AG81" s="19">
        <v>1</v>
      </c>
      <c r="AH81" s="19" t="str">
        <f>IF(T_MEDIDAS[[#This Row],[Riesgos laborales]],"Si","No")</f>
        <v>Si</v>
      </c>
      <c r="AI81" s="19"/>
      <c r="AJ81" s="19" t="str">
        <f>IF(T_MEDIDAS[[#This Row],[Educación]],"Si","No")</f>
        <v>No</v>
      </c>
      <c r="AK81" s="19"/>
      <c r="AL81" s="19" t="str">
        <f>IF(T_MEDIDAS[[#This Row],[Servicios sociales]],"Si","No")</f>
        <v>No</v>
      </c>
      <c r="AM81" s="19"/>
      <c r="AN81" s="19" t="str">
        <f>IF(T_MEDIDAS[[#This Row],[Servicios de emergencia y policía]],"Si","No")</f>
        <v>No</v>
      </c>
      <c r="AO81" s="19"/>
      <c r="AP81" s="19" t="str">
        <f>IF(T_MEDIDAS[[#This Row],[Parques y jardines]],"Si","No")</f>
        <v>No</v>
      </c>
      <c r="AQ81" s="19"/>
      <c r="AR81" s="19" t="str">
        <f>IF(T_MEDIDAS[[#This Row],[Transporte]],"Si","No")</f>
        <v>No</v>
      </c>
      <c r="AS81" s="125"/>
      <c r="AT81" s="1" t="str">
        <f>IF(T_MEDIDAS[[#This Row],[Coordinación]],"Si","No")</f>
        <v>No</v>
      </c>
      <c r="AU81" s="2">
        <v>1</v>
      </c>
      <c r="AV81" s="1">
        <v>1</v>
      </c>
      <c r="AW81" s="1">
        <v>1</v>
      </c>
      <c r="AX81" s="1">
        <v>1</v>
      </c>
      <c r="AY81" s="3">
        <v>1</v>
      </c>
      <c r="AZ81" s="43">
        <f>SUMPRODUCT($AT$15:$AX$15,T_MEDIDAS[[#This Row],[&lt;5.000]:[&gt;100.000]])</f>
        <v>1</v>
      </c>
      <c r="BA81" s="1">
        <v>1</v>
      </c>
      <c r="BB81" s="1">
        <v>1</v>
      </c>
      <c r="BC81" s="1">
        <v>1</v>
      </c>
      <c r="BD81" s="1">
        <v>1</v>
      </c>
      <c r="BE81" s="1">
        <v>1</v>
      </c>
      <c r="BF81" s="1">
        <v>1</v>
      </c>
      <c r="BG81" s="1">
        <v>1</v>
      </c>
      <c r="BH81" s="43" cm="1">
        <f t="array" ref="BH81">SUMPRODUCT(--((T_MEDIDAS[[#This Row],[Centros de salud o asistencia social]:[Escuelas / Centros de educación]] + $AZ$15:$BF$15)&gt;0))</f>
        <v>7</v>
      </c>
      <c r="BI81" s="1">
        <v>0</v>
      </c>
      <c r="BJ81" s="1">
        <v>0</v>
      </c>
      <c r="BK81" s="1">
        <v>2</v>
      </c>
      <c r="BL81" s="1">
        <v>1</v>
      </c>
      <c r="BM81" s="1">
        <v>3</v>
      </c>
      <c r="BN81" s="1">
        <v>1</v>
      </c>
      <c r="BO81" s="1">
        <v>2</v>
      </c>
      <c r="BP81" s="1">
        <v>3</v>
      </c>
      <c r="BQ81" s="47" cm="1">
        <f t="array" ref="BQ81">T_MEDIDAS[[#This Row],[Aplicación tamaño]]*(SUMPRODUCT(T_MEDIDAS[[#This Row],[C1_Refrigeración]:[C8_Tiempo]],TRANSPOSE('2.PONDERACIÓN'!$L$13:$L$20))+(ROW(C81)-ROW($C$18)+1)*0.0000000001)*100</f>
        <v>150.00000064</v>
      </c>
      <c r="BR81" s="84"/>
      <c r="BS81" s="90"/>
    </row>
    <row r="82" spans="1:71" ht="34.5" hidden="1">
      <c r="A82" s="84"/>
      <c r="B82" s="90"/>
      <c r="C82" s="84"/>
      <c r="D82" s="43">
        <f>IF(T_MEDIDAS[[#This Row],[Peso Criterios]]&lt;=0,"",_xlfn.RANK.EQ(T_MEDIDAS[[#This Row],[Peso Criterios]],T_MEDIDAS[Peso Criterios]))</f>
        <v>74</v>
      </c>
      <c r="E82" s="116" t="s">
        <v>285</v>
      </c>
      <c r="F82" s="117" t="s">
        <v>72</v>
      </c>
      <c r="G82" s="117" t="s">
        <v>50</v>
      </c>
      <c r="H82" s="117" t="s">
        <v>160</v>
      </c>
      <c r="I82" s="117" t="s">
        <v>286</v>
      </c>
      <c r="J82" s="117"/>
      <c r="K82" s="120">
        <v>1</v>
      </c>
      <c r="L82" s="19"/>
      <c r="M82" s="19"/>
      <c r="N82" s="121" t="str">
        <f t="shared" ref="N82:N113" si="4">IF(M82&lt;&gt;"","€€€", IF(L82&lt;&gt;"","€€", IF(K82&lt;&gt;"","€","-")))</f>
        <v>€</v>
      </c>
      <c r="O82" s="122"/>
      <c r="P82" s="122">
        <v>1</v>
      </c>
      <c r="Q82" s="20">
        <v>1</v>
      </c>
      <c r="R82" s="122">
        <v>1</v>
      </c>
      <c r="S82" s="34" t="str">
        <f>IF(T_MEDIDAS[[#This Row],[No risk (0)]]=1,"■","")</f>
        <v/>
      </c>
      <c r="T82" s="35" t="str">
        <f>IF(T_MEDIDAS[[#This Row],[Low risk (1)]]=1,"■","")</f>
        <v>■</v>
      </c>
      <c r="U82" s="36" t="str">
        <f>IF(T_MEDIDAS[[#This Row],[Medidaium risk (2)]]=1,"■","")</f>
        <v>■</v>
      </c>
      <c r="V82" s="81" t="str">
        <f>IF(T_MEDIDAS[[#This Row],[High risk (3)]]=1,"■","")</f>
        <v>■</v>
      </c>
      <c r="W82" s="19" t="str">
        <f t="shared" ref="W82:W113" si="5">IF(R82&lt;&gt;"","4. Alto (Rojo)", IF(Q82&lt;&gt;"","3. Medio (Naranja)", IF(P82&lt;&gt;"","2. Bajo (Amarillo)","1. Sin Riesgo (Verde)")))</f>
        <v>4. Alto (Rojo)</v>
      </c>
      <c r="X82" s="19">
        <f>COUNT(T_MEDIDAS[[#This Row],[Edificios públicos]:[Coordinación]])</f>
        <v>2</v>
      </c>
      <c r="Y82" s="19"/>
      <c r="Z82" s="19" t="str">
        <f>IF(T_MEDIDAS[[#This Row],[Edificios públicos]]=1,"Si","No")</f>
        <v>No</v>
      </c>
      <c r="AA82" s="19"/>
      <c r="AB82" s="19" t="str">
        <f>IF(T_MEDIDAS[[#This Row],[Planificación urbana]]=1,"Si","No")</f>
        <v>No</v>
      </c>
      <c r="AC82" s="19"/>
      <c r="AD82" s="19" t="str">
        <f>IF(T_MEDIDAS[[#This Row],[Cultura y deportes]],"Si","No")</f>
        <v>No</v>
      </c>
      <c r="AE82" s="19"/>
      <c r="AF82" s="19" t="str">
        <f>IF(T_MEDIDAS[[#This Row],[Turismo]],"Si","No")</f>
        <v>No</v>
      </c>
      <c r="AG82" s="19"/>
      <c r="AH82" s="19" t="str">
        <f>IF(T_MEDIDAS[[#This Row],[Riesgos laborales]],"Si","No")</f>
        <v>No</v>
      </c>
      <c r="AI82" s="19"/>
      <c r="AJ82" s="19" t="str">
        <f>IF(T_MEDIDAS[[#This Row],[Educación]],"Si","No")</f>
        <v>No</v>
      </c>
      <c r="AK82" s="19">
        <v>1</v>
      </c>
      <c r="AL82" s="19" t="str">
        <f>IF(T_MEDIDAS[[#This Row],[Servicios sociales]],"Si","No")</f>
        <v>Si</v>
      </c>
      <c r="AM82" s="19"/>
      <c r="AN82" s="19" t="str">
        <f>IF(T_MEDIDAS[[#This Row],[Servicios de emergencia y policía]],"Si","No")</f>
        <v>No</v>
      </c>
      <c r="AO82" s="19"/>
      <c r="AP82" s="19" t="str">
        <f>IF(T_MEDIDAS[[#This Row],[Parques y jardines]],"Si","No")</f>
        <v>No</v>
      </c>
      <c r="AQ82" s="19"/>
      <c r="AR82" s="19" t="str">
        <f>IF(T_MEDIDAS[[#This Row],[Transporte]],"Si","No")</f>
        <v>No</v>
      </c>
      <c r="AS82" s="125">
        <v>1</v>
      </c>
      <c r="AT82" s="1" t="str">
        <f>IF(T_MEDIDAS[[#This Row],[Coordinación]],"Si","No")</f>
        <v>Si</v>
      </c>
      <c r="AU82" s="2">
        <v>1</v>
      </c>
      <c r="AV82" s="1">
        <v>1</v>
      </c>
      <c r="AW82" s="1">
        <v>1</v>
      </c>
      <c r="AX82" s="1">
        <v>1</v>
      </c>
      <c r="AY82" s="3">
        <v>1</v>
      </c>
      <c r="AZ82" s="43">
        <f>SUMPRODUCT($AT$15:$AX$15,T_MEDIDAS[[#This Row],[&lt;5.000]:[&gt;100.000]])</f>
        <v>1</v>
      </c>
      <c r="BA82" s="1">
        <v>1</v>
      </c>
      <c r="BB82" s="1">
        <v>1</v>
      </c>
      <c r="BC82" s="1">
        <v>1</v>
      </c>
      <c r="BD82" s="1">
        <v>1</v>
      </c>
      <c r="BE82" s="1">
        <v>1</v>
      </c>
      <c r="BF82" s="1">
        <v>1</v>
      </c>
      <c r="BG82" s="1">
        <v>1</v>
      </c>
      <c r="BH82" s="43" cm="1">
        <f t="array" ref="BH82">SUMPRODUCT(--((T_MEDIDAS[[#This Row],[Centros de salud o asistencia social]:[Escuelas / Centros de educación]] + $AZ$15:$BF$15)&gt;0))</f>
        <v>7</v>
      </c>
      <c r="BI82" s="44">
        <v>0</v>
      </c>
      <c r="BJ82" s="44">
        <v>0</v>
      </c>
      <c r="BK82" s="44">
        <v>3</v>
      </c>
      <c r="BL82" s="44">
        <v>2</v>
      </c>
      <c r="BM82" s="44">
        <v>3</v>
      </c>
      <c r="BN82" s="44">
        <v>2</v>
      </c>
      <c r="BO82" s="44">
        <v>2</v>
      </c>
      <c r="BP82" s="44">
        <v>3</v>
      </c>
      <c r="BQ82" s="47" cm="1">
        <f t="array" ref="BQ82">T_MEDIDAS[[#This Row],[Aplicación tamaño]]*(SUMPRODUCT(T_MEDIDAS[[#This Row],[C1_Refrigeración]:[C8_Tiempo]],TRANSPOSE('2.PONDERACIÓN'!$L$13:$L$20))+(ROW(C82)-ROW($C$18)+1)*0.0000000001)*100</f>
        <v>187.50000065</v>
      </c>
      <c r="BR82" s="84"/>
      <c r="BS82" s="90"/>
    </row>
    <row r="83" spans="1:71" ht="34.5" hidden="1">
      <c r="A83" s="84"/>
      <c r="B83" s="90"/>
      <c r="C83" s="84"/>
      <c r="D83" s="43">
        <f>IF(T_MEDIDAS[[#This Row],[Peso Criterios]]&lt;=0,"",_xlfn.RANK.EQ(T_MEDIDAS[[#This Row],[Peso Criterios]],T_MEDIDAS[Peso Criterios]))</f>
        <v>89</v>
      </c>
      <c r="E83" s="116" t="s">
        <v>287</v>
      </c>
      <c r="F83" s="117" t="s">
        <v>72</v>
      </c>
      <c r="G83" s="117" t="s">
        <v>50</v>
      </c>
      <c r="H83" s="117" t="s">
        <v>160</v>
      </c>
      <c r="I83" s="117" t="s">
        <v>288</v>
      </c>
      <c r="J83" s="117"/>
      <c r="K83" s="120">
        <v>1</v>
      </c>
      <c r="L83" s="19"/>
      <c r="M83" s="19"/>
      <c r="N83" s="121" t="str">
        <f t="shared" si="4"/>
        <v>€</v>
      </c>
      <c r="O83" s="122"/>
      <c r="P83" s="122">
        <v>1</v>
      </c>
      <c r="Q83" s="20">
        <v>1</v>
      </c>
      <c r="R83" s="122">
        <v>1</v>
      </c>
      <c r="S83" s="34" t="str">
        <f>IF(T_MEDIDAS[[#This Row],[No risk (0)]]=1,"■","")</f>
        <v/>
      </c>
      <c r="T83" s="35" t="str">
        <f>IF(T_MEDIDAS[[#This Row],[Low risk (1)]]=1,"■","")</f>
        <v>■</v>
      </c>
      <c r="U83" s="36" t="str">
        <f>IF(T_MEDIDAS[[#This Row],[Medidaium risk (2)]]=1,"■","")</f>
        <v>■</v>
      </c>
      <c r="V83" s="81" t="str">
        <f>IF(T_MEDIDAS[[#This Row],[High risk (3)]]=1,"■","")</f>
        <v>■</v>
      </c>
      <c r="W83" s="19" t="str">
        <f t="shared" si="5"/>
        <v>4. Alto (Rojo)</v>
      </c>
      <c r="X83" s="19">
        <f>COUNT(T_MEDIDAS[[#This Row],[Edificios públicos]:[Coordinación]])</f>
        <v>2</v>
      </c>
      <c r="Y83" s="19"/>
      <c r="Z83" s="19" t="str">
        <f>IF(T_MEDIDAS[[#This Row],[Edificios públicos]]=1,"Si","No")</f>
        <v>No</v>
      </c>
      <c r="AA83" s="19"/>
      <c r="AB83" s="19" t="str">
        <f>IF(T_MEDIDAS[[#This Row],[Planificación urbana]]=1,"Si","No")</f>
        <v>No</v>
      </c>
      <c r="AC83" s="19"/>
      <c r="AD83" s="19" t="str">
        <f>IF(T_MEDIDAS[[#This Row],[Cultura y deportes]],"Si","No")</f>
        <v>No</v>
      </c>
      <c r="AE83" s="19"/>
      <c r="AF83" s="19" t="str">
        <f>IF(T_MEDIDAS[[#This Row],[Turismo]],"Si","No")</f>
        <v>No</v>
      </c>
      <c r="AG83" s="19"/>
      <c r="AH83" s="19" t="str">
        <f>IF(T_MEDIDAS[[#This Row],[Riesgos laborales]],"Si","No")</f>
        <v>No</v>
      </c>
      <c r="AI83" s="19"/>
      <c r="AJ83" s="19" t="str">
        <f>IF(T_MEDIDAS[[#This Row],[Educación]],"Si","No")</f>
        <v>No</v>
      </c>
      <c r="AK83" s="19">
        <v>1</v>
      </c>
      <c r="AL83" s="19" t="str">
        <f>IF(T_MEDIDAS[[#This Row],[Servicios sociales]],"Si","No")</f>
        <v>Si</v>
      </c>
      <c r="AM83" s="19"/>
      <c r="AN83" s="19" t="str">
        <f>IF(T_MEDIDAS[[#This Row],[Servicios de emergencia y policía]],"Si","No")</f>
        <v>No</v>
      </c>
      <c r="AO83" s="19"/>
      <c r="AP83" s="19" t="str">
        <f>IF(T_MEDIDAS[[#This Row],[Parques y jardines]],"Si","No")</f>
        <v>No</v>
      </c>
      <c r="AQ83" s="19"/>
      <c r="AR83" s="19" t="str">
        <f>IF(T_MEDIDAS[[#This Row],[Transporte]],"Si","No")</f>
        <v>No</v>
      </c>
      <c r="AS83" s="125">
        <v>1</v>
      </c>
      <c r="AT83" s="1" t="str">
        <f>IF(T_MEDIDAS[[#This Row],[Coordinación]],"Si","No")</f>
        <v>Si</v>
      </c>
      <c r="AU83" s="2">
        <v>1</v>
      </c>
      <c r="AV83" s="1">
        <v>1</v>
      </c>
      <c r="AW83" s="1">
        <v>1</v>
      </c>
      <c r="AX83" s="1">
        <v>1</v>
      </c>
      <c r="AY83" s="3">
        <v>1</v>
      </c>
      <c r="AZ83" s="43">
        <f>SUMPRODUCT($AT$15:$AX$15,T_MEDIDAS[[#This Row],[&lt;5.000]:[&gt;100.000]])</f>
        <v>1</v>
      </c>
      <c r="BA83" s="1">
        <v>1</v>
      </c>
      <c r="BB83" s="1">
        <v>1</v>
      </c>
      <c r="BC83" s="1">
        <v>1</v>
      </c>
      <c r="BD83" s="1">
        <v>1</v>
      </c>
      <c r="BE83" s="1">
        <v>1</v>
      </c>
      <c r="BF83" s="1">
        <v>1</v>
      </c>
      <c r="BG83" s="1">
        <v>1</v>
      </c>
      <c r="BH83" s="43" cm="1">
        <f t="array" ref="BH83">SUMPRODUCT(--((T_MEDIDAS[[#This Row],[Centros de salud o asistencia social]:[Escuelas / Centros de educación]] + $AZ$15:$BF$15)&gt;0))</f>
        <v>7</v>
      </c>
      <c r="BI83" s="1">
        <v>0</v>
      </c>
      <c r="BJ83" s="1">
        <v>0</v>
      </c>
      <c r="BK83" s="1">
        <v>3</v>
      </c>
      <c r="BL83" s="1">
        <v>2</v>
      </c>
      <c r="BM83" s="1">
        <v>2</v>
      </c>
      <c r="BN83" s="1">
        <v>2</v>
      </c>
      <c r="BO83" s="1">
        <v>3</v>
      </c>
      <c r="BP83" s="1">
        <v>2</v>
      </c>
      <c r="BQ83" s="47" cm="1">
        <f t="array" ref="BQ83">T_MEDIDAS[[#This Row],[Aplicación tamaño]]*(SUMPRODUCT(T_MEDIDAS[[#This Row],[C1_Refrigeración]:[C8_Tiempo]],TRANSPOSE('2.PONDERACIÓN'!$L$13:$L$20))+(ROW(C83)-ROW($C$18)+1)*0.0000000001)*100</f>
        <v>175.00000066000001</v>
      </c>
      <c r="BR83" s="84"/>
      <c r="BS83" s="90"/>
    </row>
    <row r="84" spans="1:71" ht="34.5" hidden="1">
      <c r="A84" s="84"/>
      <c r="B84" s="90"/>
      <c r="C84" s="84"/>
      <c r="D84" s="43">
        <f>IF(T_MEDIDAS[[#This Row],[Peso Criterios]]&lt;=0,"",_xlfn.RANK.EQ(T_MEDIDAS[[#This Row],[Peso Criterios]],T_MEDIDAS[Peso Criterios]))</f>
        <v>73</v>
      </c>
      <c r="E84" s="116" t="s">
        <v>289</v>
      </c>
      <c r="F84" s="117" t="s">
        <v>72</v>
      </c>
      <c r="G84" s="117" t="s">
        <v>50</v>
      </c>
      <c r="H84" s="117" t="s">
        <v>151</v>
      </c>
      <c r="I84" s="117" t="s">
        <v>290</v>
      </c>
      <c r="J84" s="117"/>
      <c r="K84" s="120">
        <v>1</v>
      </c>
      <c r="L84" s="19"/>
      <c r="M84" s="19"/>
      <c r="N84" s="121" t="str">
        <f t="shared" si="4"/>
        <v>€</v>
      </c>
      <c r="O84" s="122"/>
      <c r="P84" s="122"/>
      <c r="Q84" s="20">
        <v>1</v>
      </c>
      <c r="R84" s="122">
        <v>1</v>
      </c>
      <c r="S84" s="34" t="str">
        <f>IF(T_MEDIDAS[[#This Row],[No risk (0)]]=1,"■","")</f>
        <v/>
      </c>
      <c r="T84" s="35" t="str">
        <f>IF(T_MEDIDAS[[#This Row],[Low risk (1)]]=1,"■","")</f>
        <v/>
      </c>
      <c r="U84" s="36" t="str">
        <f>IF(T_MEDIDAS[[#This Row],[Medidaium risk (2)]]=1,"■","")</f>
        <v>■</v>
      </c>
      <c r="V84" s="81" t="str">
        <f>IF(T_MEDIDAS[[#This Row],[High risk (3)]]=1,"■","")</f>
        <v>■</v>
      </c>
      <c r="W84" s="19" t="str">
        <f t="shared" si="5"/>
        <v>4. Alto (Rojo)</v>
      </c>
      <c r="X84" s="19">
        <f>COUNT(T_MEDIDAS[[#This Row],[Edificios públicos]:[Coordinación]])</f>
        <v>2</v>
      </c>
      <c r="Y84" s="19">
        <v>1</v>
      </c>
      <c r="Z84" s="19" t="str">
        <f>IF(T_MEDIDAS[[#This Row],[Edificios públicos]]=1,"Si","No")</f>
        <v>Si</v>
      </c>
      <c r="AA84" s="19"/>
      <c r="AB84" s="19" t="str">
        <f>IF(T_MEDIDAS[[#This Row],[Planificación urbana]]=1,"Si","No")</f>
        <v>No</v>
      </c>
      <c r="AC84" s="19">
        <v>1</v>
      </c>
      <c r="AD84" s="19" t="str">
        <f>IF(T_MEDIDAS[[#This Row],[Cultura y deportes]],"Si","No")</f>
        <v>Si</v>
      </c>
      <c r="AE84" s="19"/>
      <c r="AF84" s="19" t="str">
        <f>IF(T_MEDIDAS[[#This Row],[Turismo]],"Si","No")</f>
        <v>No</v>
      </c>
      <c r="AG84" s="19"/>
      <c r="AH84" s="19" t="str">
        <f>IF(T_MEDIDAS[[#This Row],[Riesgos laborales]],"Si","No")</f>
        <v>No</v>
      </c>
      <c r="AI84" s="19"/>
      <c r="AJ84" s="19" t="str">
        <f>IF(T_MEDIDAS[[#This Row],[Educación]],"Si","No")</f>
        <v>No</v>
      </c>
      <c r="AK84" s="19"/>
      <c r="AL84" s="19" t="str">
        <f>IF(T_MEDIDAS[[#This Row],[Servicios sociales]],"Si","No")</f>
        <v>No</v>
      </c>
      <c r="AM84" s="19"/>
      <c r="AN84" s="19" t="str">
        <f>IF(T_MEDIDAS[[#This Row],[Servicios de emergencia y policía]],"Si","No")</f>
        <v>No</v>
      </c>
      <c r="AO84" s="19"/>
      <c r="AP84" s="19" t="str">
        <f>IF(T_MEDIDAS[[#This Row],[Parques y jardines]],"Si","No")</f>
        <v>No</v>
      </c>
      <c r="AQ84" s="19"/>
      <c r="AR84" s="19" t="str">
        <f>IF(T_MEDIDAS[[#This Row],[Transporte]],"Si","No")</f>
        <v>No</v>
      </c>
      <c r="AS84" s="125"/>
      <c r="AT84" s="1" t="str">
        <f>IF(T_MEDIDAS[[#This Row],[Coordinación]],"Si","No")</f>
        <v>No</v>
      </c>
      <c r="AU84" s="2">
        <v>1</v>
      </c>
      <c r="AV84" s="1">
        <v>1</v>
      </c>
      <c r="AW84" s="1">
        <v>1</v>
      </c>
      <c r="AX84" s="1">
        <v>1</v>
      </c>
      <c r="AY84" s="3">
        <v>1</v>
      </c>
      <c r="AZ84" s="43">
        <f>SUMPRODUCT($AT$15:$AX$15,T_MEDIDAS[[#This Row],[&lt;5.000]:[&gt;100.000]])</f>
        <v>1</v>
      </c>
      <c r="BA84" s="1">
        <v>1</v>
      </c>
      <c r="BB84" s="1">
        <v>1</v>
      </c>
      <c r="BC84" s="1">
        <v>1</v>
      </c>
      <c r="BD84" s="1">
        <v>1</v>
      </c>
      <c r="BE84" s="1">
        <v>1</v>
      </c>
      <c r="BF84" s="1">
        <v>1</v>
      </c>
      <c r="BG84" s="1">
        <v>1</v>
      </c>
      <c r="BH84" s="43" cm="1">
        <f t="array" ref="BH84">SUMPRODUCT(--((T_MEDIDAS[[#This Row],[Centros de salud o asistencia social]:[Escuelas / Centros de educación]] + $AZ$15:$BF$15)&gt;0))</f>
        <v>7</v>
      </c>
      <c r="BI84" s="44">
        <v>0</v>
      </c>
      <c r="BJ84" s="44">
        <v>0</v>
      </c>
      <c r="BK84" s="44">
        <v>2</v>
      </c>
      <c r="BL84" s="44">
        <v>2</v>
      </c>
      <c r="BM84" s="44">
        <v>3</v>
      </c>
      <c r="BN84" s="44">
        <v>2</v>
      </c>
      <c r="BO84" s="44">
        <v>3</v>
      </c>
      <c r="BP84" s="44">
        <v>3</v>
      </c>
      <c r="BQ84" s="47" cm="1">
        <f t="array" ref="BQ84">T_MEDIDAS[[#This Row],[Aplicación tamaño]]*(SUMPRODUCT(T_MEDIDAS[[#This Row],[C1_Refrigeración]:[C8_Tiempo]],TRANSPOSE('2.PONDERACIÓN'!$L$13:$L$20))+(ROW(C84)-ROW($C$18)+1)*0.0000000001)*100</f>
        <v>187.50000067000002</v>
      </c>
      <c r="BR84" s="84"/>
      <c r="BS84" s="90"/>
    </row>
    <row r="85" spans="1:71" ht="34.5" hidden="1">
      <c r="A85" s="84"/>
      <c r="B85" s="90"/>
      <c r="C85" s="84"/>
      <c r="D85" s="43">
        <f>IF(T_MEDIDAS[[#This Row],[Peso Criterios]]&lt;=0,"",_xlfn.RANK.EQ(T_MEDIDAS[[#This Row],[Peso Criterios]],T_MEDIDAS[Peso Criterios]))</f>
        <v>88</v>
      </c>
      <c r="E85" s="116" t="s">
        <v>291</v>
      </c>
      <c r="F85" s="117" t="s">
        <v>72</v>
      </c>
      <c r="G85" s="117" t="s">
        <v>50</v>
      </c>
      <c r="H85" s="117" t="s">
        <v>151</v>
      </c>
      <c r="I85" s="117" t="s">
        <v>292</v>
      </c>
      <c r="J85" s="117"/>
      <c r="K85" s="120">
        <v>1</v>
      </c>
      <c r="L85" s="19"/>
      <c r="M85" s="19"/>
      <c r="N85" s="121" t="str">
        <f t="shared" si="4"/>
        <v>€</v>
      </c>
      <c r="O85" s="122"/>
      <c r="P85" s="122"/>
      <c r="Q85" s="20">
        <v>1</v>
      </c>
      <c r="R85" s="122">
        <v>1</v>
      </c>
      <c r="S85" s="34" t="str">
        <f>IF(T_MEDIDAS[[#This Row],[No risk (0)]]=1,"■","")</f>
        <v/>
      </c>
      <c r="T85" s="35" t="str">
        <f>IF(T_MEDIDAS[[#This Row],[Low risk (1)]]=1,"■","")</f>
        <v/>
      </c>
      <c r="U85" s="36" t="str">
        <f>IF(T_MEDIDAS[[#This Row],[Medidaium risk (2)]]=1,"■","")</f>
        <v>■</v>
      </c>
      <c r="V85" s="81" t="str">
        <f>IF(T_MEDIDAS[[#This Row],[High risk (3)]]=1,"■","")</f>
        <v>■</v>
      </c>
      <c r="W85" s="19" t="str">
        <f t="shared" si="5"/>
        <v>4. Alto (Rojo)</v>
      </c>
      <c r="X85" s="19">
        <f>COUNT(T_MEDIDAS[[#This Row],[Edificios públicos]:[Coordinación]])</f>
        <v>1</v>
      </c>
      <c r="Y85" s="19"/>
      <c r="Z85" s="19" t="str">
        <f>IF(T_MEDIDAS[[#This Row],[Edificios públicos]]=1,"Si","No")</f>
        <v>No</v>
      </c>
      <c r="AA85" s="19"/>
      <c r="AB85" s="19" t="str">
        <f>IF(T_MEDIDAS[[#This Row],[Planificación urbana]]=1,"Si","No")</f>
        <v>No</v>
      </c>
      <c r="AC85" s="19"/>
      <c r="AD85" s="19" t="str">
        <f>IF(T_MEDIDAS[[#This Row],[Cultura y deportes]],"Si","No")</f>
        <v>No</v>
      </c>
      <c r="AE85" s="19"/>
      <c r="AF85" s="19" t="str">
        <f>IF(T_MEDIDAS[[#This Row],[Turismo]],"Si","No")</f>
        <v>No</v>
      </c>
      <c r="AG85" s="19"/>
      <c r="AH85" s="19" t="str">
        <f>IF(T_MEDIDAS[[#This Row],[Riesgos laborales]],"Si","No")</f>
        <v>No</v>
      </c>
      <c r="AI85" s="19"/>
      <c r="AJ85" s="19" t="str">
        <f>IF(T_MEDIDAS[[#This Row],[Educación]],"Si","No")</f>
        <v>No</v>
      </c>
      <c r="AK85" s="19">
        <v>1</v>
      </c>
      <c r="AL85" s="19" t="str">
        <f>IF(T_MEDIDAS[[#This Row],[Servicios sociales]],"Si","No")</f>
        <v>Si</v>
      </c>
      <c r="AM85" s="19"/>
      <c r="AN85" s="19" t="str">
        <f>IF(T_MEDIDAS[[#This Row],[Servicios de emergencia y policía]],"Si","No")</f>
        <v>No</v>
      </c>
      <c r="AO85" s="19"/>
      <c r="AP85" s="19" t="str">
        <f>IF(T_MEDIDAS[[#This Row],[Parques y jardines]],"Si","No")</f>
        <v>No</v>
      </c>
      <c r="AQ85" s="19"/>
      <c r="AR85" s="19" t="str">
        <f>IF(T_MEDIDAS[[#This Row],[Transporte]],"Si","No")</f>
        <v>No</v>
      </c>
      <c r="AS85" s="125"/>
      <c r="AT85" s="1" t="str">
        <f>IF(T_MEDIDAS[[#This Row],[Coordinación]],"Si","No")</f>
        <v>No</v>
      </c>
      <c r="AU85" s="2">
        <v>1</v>
      </c>
      <c r="AV85" s="1">
        <v>1</v>
      </c>
      <c r="AW85" s="1">
        <v>1</v>
      </c>
      <c r="AX85" s="1">
        <v>1</v>
      </c>
      <c r="AY85" s="3">
        <v>1</v>
      </c>
      <c r="AZ85" s="43">
        <f>SUMPRODUCT($AT$15:$AX$15,T_MEDIDAS[[#This Row],[&lt;5.000]:[&gt;100.000]])</f>
        <v>1</v>
      </c>
      <c r="BA85" s="1">
        <v>1</v>
      </c>
      <c r="BB85" s="1">
        <v>1</v>
      </c>
      <c r="BC85" s="1">
        <v>1</v>
      </c>
      <c r="BD85" s="1">
        <v>1</v>
      </c>
      <c r="BE85" s="1">
        <v>1</v>
      </c>
      <c r="BF85" s="1">
        <v>1</v>
      </c>
      <c r="BG85" s="1">
        <v>1</v>
      </c>
      <c r="BH85" s="43" cm="1">
        <f t="array" ref="BH85">SUMPRODUCT(--((T_MEDIDAS[[#This Row],[Centros de salud o asistencia social]:[Escuelas / Centros de educación]] + $AZ$15:$BF$15)&gt;0))</f>
        <v>7</v>
      </c>
      <c r="BI85" s="1">
        <v>0</v>
      </c>
      <c r="BJ85" s="1">
        <v>0</v>
      </c>
      <c r="BK85" s="1">
        <v>2</v>
      </c>
      <c r="BL85" s="1">
        <v>2</v>
      </c>
      <c r="BM85" s="1">
        <v>2</v>
      </c>
      <c r="BN85" s="1">
        <v>2</v>
      </c>
      <c r="BO85" s="1">
        <v>3</v>
      </c>
      <c r="BP85" s="1">
        <v>3</v>
      </c>
      <c r="BQ85" s="47" cm="1">
        <f t="array" ref="BQ85">T_MEDIDAS[[#This Row],[Aplicación tamaño]]*(SUMPRODUCT(T_MEDIDAS[[#This Row],[C1_Refrigeración]:[C8_Tiempo]],TRANSPOSE('2.PONDERACIÓN'!$L$13:$L$20))+(ROW(C85)-ROW($C$18)+1)*0.0000000001)*100</f>
        <v>175.00000068</v>
      </c>
      <c r="BR85" s="84"/>
      <c r="BS85" s="90"/>
    </row>
    <row r="86" spans="1:71" ht="34.5" hidden="1">
      <c r="A86" s="84"/>
      <c r="B86" s="90"/>
      <c r="C86" s="84"/>
      <c r="D86" s="43">
        <f>IF(T_MEDIDAS[[#This Row],[Peso Criterios]]&lt;=0,"",_xlfn.RANK.EQ(T_MEDIDAS[[#This Row],[Peso Criterios]],T_MEDIDAS[Peso Criterios]))</f>
        <v>72</v>
      </c>
      <c r="E86" s="116" t="s">
        <v>293</v>
      </c>
      <c r="F86" s="117" t="s">
        <v>72</v>
      </c>
      <c r="G86" s="117" t="s">
        <v>50</v>
      </c>
      <c r="H86" s="117" t="s">
        <v>151</v>
      </c>
      <c r="I86" s="117" t="s">
        <v>294</v>
      </c>
      <c r="J86" s="117"/>
      <c r="K86" s="120">
        <v>1</v>
      </c>
      <c r="L86" s="19"/>
      <c r="M86" s="19"/>
      <c r="N86" s="121" t="str">
        <f t="shared" si="4"/>
        <v>€</v>
      </c>
      <c r="O86" s="122"/>
      <c r="P86" s="122"/>
      <c r="Q86" s="20">
        <v>1</v>
      </c>
      <c r="R86" s="122">
        <v>1</v>
      </c>
      <c r="S86" s="34" t="str">
        <f>IF(T_MEDIDAS[[#This Row],[No risk (0)]]=1,"■","")</f>
        <v/>
      </c>
      <c r="T86" s="35" t="str">
        <f>IF(T_MEDIDAS[[#This Row],[Low risk (1)]]=1,"■","")</f>
        <v/>
      </c>
      <c r="U86" s="36" t="str">
        <f>IF(T_MEDIDAS[[#This Row],[Medidaium risk (2)]]=1,"■","")</f>
        <v>■</v>
      </c>
      <c r="V86" s="81" t="str">
        <f>IF(T_MEDIDAS[[#This Row],[High risk (3)]]=1,"■","")</f>
        <v>■</v>
      </c>
      <c r="W86" s="19" t="str">
        <f t="shared" si="5"/>
        <v>4. Alto (Rojo)</v>
      </c>
      <c r="X86" s="19">
        <f>COUNT(T_MEDIDAS[[#This Row],[Edificios públicos]:[Coordinación]])</f>
        <v>1</v>
      </c>
      <c r="Y86" s="19"/>
      <c r="Z86" s="19" t="str">
        <f>IF(T_MEDIDAS[[#This Row],[Edificios públicos]]=1,"Si","No")</f>
        <v>No</v>
      </c>
      <c r="AA86" s="19"/>
      <c r="AB86" s="19" t="str">
        <f>IF(T_MEDIDAS[[#This Row],[Planificación urbana]]=1,"Si","No")</f>
        <v>No</v>
      </c>
      <c r="AC86" s="19"/>
      <c r="AD86" s="19" t="str">
        <f>IF(T_MEDIDAS[[#This Row],[Cultura y deportes]],"Si","No")</f>
        <v>No</v>
      </c>
      <c r="AE86" s="19"/>
      <c r="AF86" s="19" t="str">
        <f>IF(T_MEDIDAS[[#This Row],[Turismo]],"Si","No")</f>
        <v>No</v>
      </c>
      <c r="AG86" s="19"/>
      <c r="AH86" s="19" t="str">
        <f>IF(T_MEDIDAS[[#This Row],[Riesgos laborales]],"Si","No")</f>
        <v>No</v>
      </c>
      <c r="AI86" s="19"/>
      <c r="AJ86" s="19" t="str">
        <f>IF(T_MEDIDAS[[#This Row],[Educación]],"Si","No")</f>
        <v>No</v>
      </c>
      <c r="AK86" s="19"/>
      <c r="AL86" s="19" t="str">
        <f>IF(T_MEDIDAS[[#This Row],[Servicios sociales]],"Si","No")</f>
        <v>No</v>
      </c>
      <c r="AM86" s="19">
        <v>1</v>
      </c>
      <c r="AN86" s="19" t="str">
        <f>IF(T_MEDIDAS[[#This Row],[Servicios de emergencia y policía]],"Si","No")</f>
        <v>Si</v>
      </c>
      <c r="AO86" s="19"/>
      <c r="AP86" s="19" t="str">
        <f>IF(T_MEDIDAS[[#This Row],[Parques y jardines]],"Si","No")</f>
        <v>No</v>
      </c>
      <c r="AQ86" s="19"/>
      <c r="AR86" s="19" t="str">
        <f>IF(T_MEDIDAS[[#This Row],[Transporte]],"Si","No")</f>
        <v>No</v>
      </c>
      <c r="AS86" s="125"/>
      <c r="AT86" s="1" t="str">
        <f>IF(T_MEDIDAS[[#This Row],[Coordinación]],"Si","No")</f>
        <v>No</v>
      </c>
      <c r="AU86" s="2">
        <v>1</v>
      </c>
      <c r="AV86" s="1">
        <v>1</v>
      </c>
      <c r="AW86" s="1">
        <v>1</v>
      </c>
      <c r="AX86" s="1">
        <v>1</v>
      </c>
      <c r="AY86" s="3">
        <v>1</v>
      </c>
      <c r="AZ86" s="43">
        <f>SUMPRODUCT($AT$15:$AX$15,T_MEDIDAS[[#This Row],[&lt;5.000]:[&gt;100.000]])</f>
        <v>1</v>
      </c>
      <c r="BA86" s="1">
        <v>1</v>
      </c>
      <c r="BB86" s="1">
        <v>1</v>
      </c>
      <c r="BC86" s="1">
        <v>1</v>
      </c>
      <c r="BD86" s="1"/>
      <c r="BE86" s="1">
        <v>1</v>
      </c>
      <c r="BF86" s="1"/>
      <c r="BG86" s="1">
        <v>1</v>
      </c>
      <c r="BH86" s="43" cm="1">
        <f t="array" ref="BH86">SUMPRODUCT(--((T_MEDIDAS[[#This Row],[Centros de salud o asistencia social]:[Escuelas / Centros de educación]] + $AZ$15:$BF$15)&gt;0))</f>
        <v>5</v>
      </c>
      <c r="BI86" s="44">
        <v>0</v>
      </c>
      <c r="BJ86" s="44">
        <v>0</v>
      </c>
      <c r="BK86" s="44">
        <v>2</v>
      </c>
      <c r="BL86" s="44">
        <v>2</v>
      </c>
      <c r="BM86" s="44">
        <v>3</v>
      </c>
      <c r="BN86" s="44">
        <v>2</v>
      </c>
      <c r="BO86" s="44">
        <v>3</v>
      </c>
      <c r="BP86" s="44">
        <v>3</v>
      </c>
      <c r="BQ86" s="47" cm="1">
        <f t="array" ref="BQ86">T_MEDIDAS[[#This Row],[Aplicación tamaño]]*(SUMPRODUCT(T_MEDIDAS[[#This Row],[C1_Refrigeración]:[C8_Tiempo]],TRANSPOSE('2.PONDERACIÓN'!$L$13:$L$20))+(ROW(C86)-ROW($C$18)+1)*0.0000000001)*100</f>
        <v>187.50000068999998</v>
      </c>
      <c r="BR86" s="84"/>
      <c r="BS86" s="90"/>
    </row>
    <row r="87" spans="1:71" ht="34.5" hidden="1">
      <c r="A87" s="84"/>
      <c r="B87" s="90"/>
      <c r="C87" s="84"/>
      <c r="D87" s="43">
        <f>IF(T_MEDIDAS[[#This Row],[Peso Criterios]]&lt;=0,"",_xlfn.RANK.EQ(T_MEDIDAS[[#This Row],[Peso Criterios]],T_MEDIDAS[Peso Criterios]))</f>
        <v>34</v>
      </c>
      <c r="E87" s="116" t="s">
        <v>295</v>
      </c>
      <c r="F87" s="117" t="s">
        <v>72</v>
      </c>
      <c r="G87" s="117" t="s">
        <v>50</v>
      </c>
      <c r="H87" s="117" t="s">
        <v>151</v>
      </c>
      <c r="I87" s="126" t="s">
        <v>296</v>
      </c>
      <c r="J87" s="126"/>
      <c r="K87" s="120">
        <v>1</v>
      </c>
      <c r="L87" s="19"/>
      <c r="M87" s="19"/>
      <c r="N87" s="121" t="str">
        <f t="shared" si="4"/>
        <v>€</v>
      </c>
      <c r="O87" s="122"/>
      <c r="P87" s="122">
        <v>1</v>
      </c>
      <c r="Q87" s="20">
        <v>1</v>
      </c>
      <c r="R87" s="122">
        <v>1</v>
      </c>
      <c r="S87" s="34" t="str">
        <f>IF(T_MEDIDAS[[#This Row],[No risk (0)]]=1,"■","")</f>
        <v/>
      </c>
      <c r="T87" s="35" t="str">
        <f>IF(T_MEDIDAS[[#This Row],[Low risk (1)]]=1,"■","")</f>
        <v>■</v>
      </c>
      <c r="U87" s="36" t="str">
        <f>IF(T_MEDIDAS[[#This Row],[Medidaium risk (2)]]=1,"■","")</f>
        <v>■</v>
      </c>
      <c r="V87" s="81" t="str">
        <f>IF(T_MEDIDAS[[#This Row],[High risk (3)]]=1,"■","")</f>
        <v>■</v>
      </c>
      <c r="W87" s="19" t="str">
        <f t="shared" si="5"/>
        <v>4. Alto (Rojo)</v>
      </c>
      <c r="X87" s="19">
        <f>COUNT(T_MEDIDAS[[#This Row],[Edificios públicos]:[Coordinación]])</f>
        <v>1</v>
      </c>
      <c r="Y87" s="19"/>
      <c r="Z87" s="19" t="str">
        <f>IF(T_MEDIDAS[[#This Row],[Edificios públicos]]=1,"Si","No")</f>
        <v>No</v>
      </c>
      <c r="AA87" s="19"/>
      <c r="AB87" s="19" t="str">
        <f>IF(T_MEDIDAS[[#This Row],[Planificación urbana]]=1,"Si","No")</f>
        <v>No</v>
      </c>
      <c r="AC87" s="19"/>
      <c r="AD87" s="19" t="str">
        <f>IF(T_MEDIDAS[[#This Row],[Cultura y deportes]],"Si","No")</f>
        <v>No</v>
      </c>
      <c r="AE87" s="19"/>
      <c r="AF87" s="19" t="str">
        <f>IF(T_MEDIDAS[[#This Row],[Turismo]],"Si","No")</f>
        <v>No</v>
      </c>
      <c r="AG87" s="19"/>
      <c r="AH87" s="19" t="str">
        <f>IF(T_MEDIDAS[[#This Row],[Riesgos laborales]],"Si","No")</f>
        <v>No</v>
      </c>
      <c r="AI87" s="19"/>
      <c r="AJ87" s="19" t="str">
        <f>IF(T_MEDIDAS[[#This Row],[Educación]],"Si","No")</f>
        <v>No</v>
      </c>
      <c r="AK87" s="19"/>
      <c r="AL87" s="19" t="str">
        <f>IF(T_MEDIDAS[[#This Row],[Servicios sociales]],"Si","No")</f>
        <v>No</v>
      </c>
      <c r="AM87" s="19"/>
      <c r="AN87" s="19" t="str">
        <f>IF(T_MEDIDAS[[#This Row],[Servicios de emergencia y policía]],"Si","No")</f>
        <v>No</v>
      </c>
      <c r="AO87" s="19"/>
      <c r="AP87" s="19" t="str">
        <f>IF(T_MEDIDAS[[#This Row],[Parques y jardines]],"Si","No")</f>
        <v>No</v>
      </c>
      <c r="AQ87" s="19"/>
      <c r="AR87" s="19" t="str">
        <f>IF(T_MEDIDAS[[#This Row],[Transporte]],"Si","No")</f>
        <v>No</v>
      </c>
      <c r="AS87" s="125">
        <v>1</v>
      </c>
      <c r="AT87" s="1" t="str">
        <f>IF(T_MEDIDAS[[#This Row],[Coordinación]],"Si","No")</f>
        <v>Si</v>
      </c>
      <c r="AU87" s="2">
        <v>1</v>
      </c>
      <c r="AV87" s="1">
        <v>1</v>
      </c>
      <c r="AW87" s="1">
        <v>1</v>
      </c>
      <c r="AX87" s="1">
        <v>1</v>
      </c>
      <c r="AY87" s="3">
        <v>1</v>
      </c>
      <c r="AZ87" s="43">
        <f>SUMPRODUCT($AT$15:$AX$15,T_MEDIDAS[[#This Row],[&lt;5.000]:[&gt;100.000]])</f>
        <v>1</v>
      </c>
      <c r="BA87" s="1">
        <v>1</v>
      </c>
      <c r="BB87" s="1">
        <v>1</v>
      </c>
      <c r="BC87" s="1">
        <v>1</v>
      </c>
      <c r="BD87" s="1">
        <v>1</v>
      </c>
      <c r="BE87" s="1">
        <v>1</v>
      </c>
      <c r="BF87" s="1">
        <v>1</v>
      </c>
      <c r="BG87" s="1">
        <v>1</v>
      </c>
      <c r="BH87" s="43" cm="1">
        <f t="array" ref="BH87">SUMPRODUCT(--((T_MEDIDAS[[#This Row],[Centros de salud o asistencia social]:[Escuelas / Centros de educación]] + $AZ$15:$BF$15)&gt;0))</f>
        <v>7</v>
      </c>
      <c r="BI87" s="1">
        <v>0</v>
      </c>
      <c r="BJ87" s="1">
        <v>0</v>
      </c>
      <c r="BK87" s="1">
        <v>3</v>
      </c>
      <c r="BL87" s="1">
        <v>2</v>
      </c>
      <c r="BM87" s="1">
        <v>3</v>
      </c>
      <c r="BN87" s="1">
        <v>2</v>
      </c>
      <c r="BO87" s="1">
        <v>3</v>
      </c>
      <c r="BP87" s="1">
        <v>3</v>
      </c>
      <c r="BQ87" s="47" cm="1">
        <f t="array" ref="BQ87">T_MEDIDAS[[#This Row],[Aplicación tamaño]]*(SUMPRODUCT(T_MEDIDAS[[#This Row],[C1_Refrigeración]:[C8_Tiempo]],TRANSPOSE('2.PONDERACIÓN'!$L$13:$L$20))+(ROW(C87)-ROW($C$18)+1)*0.0000000001)*100</f>
        <v>200.00000070000002</v>
      </c>
      <c r="BR87" s="84"/>
      <c r="BS87" s="90"/>
    </row>
    <row r="88" spans="1:71" ht="34.5" hidden="1">
      <c r="A88" s="84"/>
      <c r="B88" s="90"/>
      <c r="C88" s="84"/>
      <c r="D88" s="43">
        <f>IF(T_MEDIDAS[[#This Row],[Peso Criterios]]&lt;=0,"",_xlfn.RANK.EQ(T_MEDIDAS[[#This Row],[Peso Criterios]],T_MEDIDAS[Peso Criterios]))</f>
        <v>87</v>
      </c>
      <c r="E88" s="116" t="s">
        <v>297</v>
      </c>
      <c r="F88" s="117" t="s">
        <v>72</v>
      </c>
      <c r="G88" s="117" t="s">
        <v>50</v>
      </c>
      <c r="H88" s="117" t="s">
        <v>151</v>
      </c>
      <c r="I88" s="117" t="s">
        <v>298</v>
      </c>
      <c r="J88" s="117"/>
      <c r="K88" s="120">
        <v>1</v>
      </c>
      <c r="L88" s="19"/>
      <c r="M88" s="19"/>
      <c r="N88" s="121" t="str">
        <f t="shared" si="4"/>
        <v>€</v>
      </c>
      <c r="O88" s="122"/>
      <c r="P88" s="122"/>
      <c r="Q88" s="20">
        <v>1</v>
      </c>
      <c r="R88" s="122">
        <v>1</v>
      </c>
      <c r="S88" s="34" t="str">
        <f>IF(T_MEDIDAS[[#This Row],[No risk (0)]]=1,"■","")</f>
        <v/>
      </c>
      <c r="T88" s="35" t="str">
        <f>IF(T_MEDIDAS[[#This Row],[Low risk (1)]]=1,"■","")</f>
        <v/>
      </c>
      <c r="U88" s="36" t="str">
        <f>IF(T_MEDIDAS[[#This Row],[Medidaium risk (2)]]=1,"■","")</f>
        <v>■</v>
      </c>
      <c r="V88" s="81" t="str">
        <f>IF(T_MEDIDAS[[#This Row],[High risk (3)]]=1,"■","")</f>
        <v>■</v>
      </c>
      <c r="W88" s="19" t="str">
        <f t="shared" si="5"/>
        <v>4. Alto (Rojo)</v>
      </c>
      <c r="X88" s="19">
        <f>COUNT(T_MEDIDAS[[#This Row],[Edificios públicos]:[Coordinación]])</f>
        <v>1</v>
      </c>
      <c r="Y88" s="19"/>
      <c r="Z88" s="19" t="str">
        <f>IF(T_MEDIDAS[[#This Row],[Edificios públicos]]=1,"Si","No")</f>
        <v>No</v>
      </c>
      <c r="AA88" s="19"/>
      <c r="AB88" s="19" t="str">
        <f>IF(T_MEDIDAS[[#This Row],[Planificación urbana]]=1,"Si","No")</f>
        <v>No</v>
      </c>
      <c r="AC88" s="19"/>
      <c r="AD88" s="19" t="str">
        <f>IF(T_MEDIDAS[[#This Row],[Cultura y deportes]],"Si","No")</f>
        <v>No</v>
      </c>
      <c r="AE88" s="19"/>
      <c r="AF88" s="19" t="str">
        <f>IF(T_MEDIDAS[[#This Row],[Turismo]],"Si","No")</f>
        <v>No</v>
      </c>
      <c r="AG88" s="19"/>
      <c r="AH88" s="19" t="str">
        <f>IF(T_MEDIDAS[[#This Row],[Riesgos laborales]],"Si","No")</f>
        <v>No</v>
      </c>
      <c r="AI88" s="19"/>
      <c r="AJ88" s="19" t="str">
        <f>IF(T_MEDIDAS[[#This Row],[Educación]],"Si","No")</f>
        <v>No</v>
      </c>
      <c r="AK88" s="19"/>
      <c r="AL88" s="19" t="str">
        <f>IF(T_MEDIDAS[[#This Row],[Servicios sociales]],"Si","No")</f>
        <v>No</v>
      </c>
      <c r="AM88" s="19"/>
      <c r="AN88" s="19" t="str">
        <f>IF(T_MEDIDAS[[#This Row],[Servicios de emergencia y policía]],"Si","No")</f>
        <v>No</v>
      </c>
      <c r="AO88" s="19"/>
      <c r="AP88" s="19" t="str">
        <f>IF(T_MEDIDAS[[#This Row],[Parques y jardines]],"Si","No")</f>
        <v>No</v>
      </c>
      <c r="AQ88" s="19"/>
      <c r="AR88" s="19" t="str">
        <f>IF(T_MEDIDAS[[#This Row],[Transporte]],"Si","No")</f>
        <v>No</v>
      </c>
      <c r="AS88" s="125">
        <v>1</v>
      </c>
      <c r="AT88" s="1" t="str">
        <f>IF(T_MEDIDAS[[#This Row],[Coordinación]],"Si","No")</f>
        <v>Si</v>
      </c>
      <c r="AU88" s="2">
        <v>1</v>
      </c>
      <c r="AV88" s="1">
        <v>1</v>
      </c>
      <c r="AW88" s="1">
        <v>1</v>
      </c>
      <c r="AX88" s="1">
        <v>1</v>
      </c>
      <c r="AY88" s="3">
        <v>1</v>
      </c>
      <c r="AZ88" s="43">
        <f>SUMPRODUCT($AT$15:$AX$15,T_MEDIDAS[[#This Row],[&lt;5.000]:[&gt;100.000]])</f>
        <v>1</v>
      </c>
      <c r="BA88" s="1">
        <v>1</v>
      </c>
      <c r="BB88" s="1">
        <v>1</v>
      </c>
      <c r="BC88" s="1">
        <v>1</v>
      </c>
      <c r="BD88" s="1">
        <v>1</v>
      </c>
      <c r="BE88" s="1">
        <v>1</v>
      </c>
      <c r="BF88" s="1">
        <v>1</v>
      </c>
      <c r="BG88" s="1">
        <v>1</v>
      </c>
      <c r="BH88" s="43" cm="1">
        <f t="array" ref="BH88">SUMPRODUCT(--((T_MEDIDAS[[#This Row],[Centros de salud o asistencia social]:[Escuelas / Centros de educación]] + $AZ$15:$BF$15)&gt;0))</f>
        <v>7</v>
      </c>
      <c r="BI88" s="44">
        <v>0</v>
      </c>
      <c r="BJ88" s="44">
        <v>0</v>
      </c>
      <c r="BK88" s="44">
        <v>2</v>
      </c>
      <c r="BL88" s="44">
        <v>1</v>
      </c>
      <c r="BM88" s="44">
        <v>3</v>
      </c>
      <c r="BN88" s="44">
        <v>2</v>
      </c>
      <c r="BO88" s="44">
        <v>3</v>
      </c>
      <c r="BP88" s="44">
        <v>3</v>
      </c>
      <c r="BQ88" s="47" cm="1">
        <f t="array" ref="BQ88">T_MEDIDAS[[#This Row],[Aplicación tamaño]]*(SUMPRODUCT(T_MEDIDAS[[#This Row],[C1_Refrigeración]:[C8_Tiempo]],TRANSPOSE('2.PONDERACIÓN'!$L$13:$L$20))+(ROW(C88)-ROW($C$18)+1)*0.0000000001)*100</f>
        <v>175.00000070999999</v>
      </c>
      <c r="BR88" s="84"/>
      <c r="BS88" s="90"/>
    </row>
    <row r="89" spans="1:71" ht="43.5" hidden="1">
      <c r="A89" s="84"/>
      <c r="B89" s="90"/>
      <c r="C89" s="84"/>
      <c r="D89" s="43">
        <f>IF(T_MEDIDAS[[#This Row],[Peso Criterios]]&lt;=0,"",_xlfn.RANK.EQ(T_MEDIDAS[[#This Row],[Peso Criterios]],T_MEDIDAS[Peso Criterios]))</f>
        <v>33</v>
      </c>
      <c r="E89" s="116" t="s">
        <v>299</v>
      </c>
      <c r="F89" s="117" t="s">
        <v>72</v>
      </c>
      <c r="G89" s="117" t="s">
        <v>56</v>
      </c>
      <c r="H89" s="117" t="s">
        <v>273</v>
      </c>
      <c r="I89" s="117" t="s">
        <v>300</v>
      </c>
      <c r="J89" s="117"/>
      <c r="K89" s="120">
        <v>1</v>
      </c>
      <c r="L89" s="19"/>
      <c r="M89" s="19"/>
      <c r="N89" s="121" t="str">
        <f t="shared" si="4"/>
        <v>€</v>
      </c>
      <c r="O89" s="122"/>
      <c r="P89" s="122"/>
      <c r="Q89" s="20">
        <v>1</v>
      </c>
      <c r="R89" s="122">
        <v>1</v>
      </c>
      <c r="S89" s="34" t="str">
        <f>IF(T_MEDIDAS[[#This Row],[No risk (0)]]=1,"■","")</f>
        <v/>
      </c>
      <c r="T89" s="35" t="str">
        <f>IF(T_MEDIDAS[[#This Row],[Low risk (1)]]=1,"■","")</f>
        <v/>
      </c>
      <c r="U89" s="36" t="str">
        <f>IF(T_MEDIDAS[[#This Row],[Medidaium risk (2)]]=1,"■","")</f>
        <v>■</v>
      </c>
      <c r="V89" s="81" t="str">
        <f>IF(T_MEDIDAS[[#This Row],[High risk (3)]]=1,"■","")</f>
        <v>■</v>
      </c>
      <c r="W89" s="19" t="str">
        <f t="shared" si="5"/>
        <v>4. Alto (Rojo)</v>
      </c>
      <c r="X89" s="19">
        <f>COUNT(T_MEDIDAS[[#This Row],[Edificios públicos]:[Coordinación]])</f>
        <v>1</v>
      </c>
      <c r="Y89" s="19"/>
      <c r="Z89" s="19" t="str">
        <f>IF(T_MEDIDAS[[#This Row],[Edificios públicos]]=1,"Si","No")</f>
        <v>No</v>
      </c>
      <c r="AA89" s="19"/>
      <c r="AB89" s="19" t="str">
        <f>IF(T_MEDIDAS[[#This Row],[Planificación urbana]]=1,"Si","No")</f>
        <v>No</v>
      </c>
      <c r="AC89" s="19"/>
      <c r="AD89" s="19" t="str">
        <f>IF(T_MEDIDAS[[#This Row],[Cultura y deportes]],"Si","No")</f>
        <v>No</v>
      </c>
      <c r="AE89" s="19"/>
      <c r="AF89" s="19" t="str">
        <f>IF(T_MEDIDAS[[#This Row],[Turismo]],"Si","No")</f>
        <v>No</v>
      </c>
      <c r="AG89" s="19">
        <v>1</v>
      </c>
      <c r="AH89" s="19" t="str">
        <f>IF(T_MEDIDAS[[#This Row],[Riesgos laborales]],"Si","No")</f>
        <v>Si</v>
      </c>
      <c r="AI89" s="19"/>
      <c r="AJ89" s="19" t="str">
        <f>IF(T_MEDIDAS[[#This Row],[Educación]],"Si","No")</f>
        <v>No</v>
      </c>
      <c r="AK89" s="19"/>
      <c r="AL89" s="19" t="str">
        <f>IF(T_MEDIDAS[[#This Row],[Servicios sociales]],"Si","No")</f>
        <v>No</v>
      </c>
      <c r="AM89" s="19"/>
      <c r="AN89" s="19" t="str">
        <f>IF(T_MEDIDAS[[#This Row],[Servicios de emergencia y policía]],"Si","No")</f>
        <v>No</v>
      </c>
      <c r="AO89" s="19"/>
      <c r="AP89" s="19" t="str">
        <f>IF(T_MEDIDAS[[#This Row],[Parques y jardines]],"Si","No")</f>
        <v>No</v>
      </c>
      <c r="AQ89" s="19"/>
      <c r="AR89" s="19" t="str">
        <f>IF(T_MEDIDAS[[#This Row],[Transporte]],"Si","No")</f>
        <v>No</v>
      </c>
      <c r="AS89" s="125"/>
      <c r="AT89" s="1" t="str">
        <f>IF(T_MEDIDAS[[#This Row],[Coordinación]],"Si","No")</f>
        <v>No</v>
      </c>
      <c r="AU89" s="2">
        <v>1</v>
      </c>
      <c r="AV89" s="1">
        <v>1</v>
      </c>
      <c r="AW89" s="1">
        <v>1</v>
      </c>
      <c r="AX89" s="1">
        <v>1</v>
      </c>
      <c r="AY89" s="3">
        <v>1</v>
      </c>
      <c r="AZ89" s="43">
        <f>SUMPRODUCT($AT$15:$AX$15,T_MEDIDAS[[#This Row],[&lt;5.000]:[&gt;100.000]])</f>
        <v>1</v>
      </c>
      <c r="BA89" s="1">
        <v>1</v>
      </c>
      <c r="BB89" s="1">
        <v>1</v>
      </c>
      <c r="BC89" s="1">
        <v>1</v>
      </c>
      <c r="BD89" s="1">
        <v>1</v>
      </c>
      <c r="BE89" s="1">
        <v>1</v>
      </c>
      <c r="BF89" s="1">
        <v>1</v>
      </c>
      <c r="BG89" s="1">
        <v>1</v>
      </c>
      <c r="BH89" s="43" cm="1">
        <f t="array" ref="BH89">SUMPRODUCT(--((T_MEDIDAS[[#This Row],[Centros de salud o asistencia social]:[Escuelas / Centros de educación]] + $AZ$15:$BF$15)&gt;0))</f>
        <v>7</v>
      </c>
      <c r="BI89" s="1">
        <v>0</v>
      </c>
      <c r="BJ89" s="1">
        <v>0</v>
      </c>
      <c r="BK89" s="1">
        <v>3</v>
      </c>
      <c r="BL89" s="1">
        <v>2</v>
      </c>
      <c r="BM89" s="1">
        <v>3</v>
      </c>
      <c r="BN89" s="1">
        <v>2</v>
      </c>
      <c r="BO89" s="1">
        <v>3</v>
      </c>
      <c r="BP89" s="1">
        <v>3</v>
      </c>
      <c r="BQ89" s="47" cm="1">
        <f t="array" ref="BQ89">T_MEDIDAS[[#This Row],[Aplicación tamaño]]*(SUMPRODUCT(T_MEDIDAS[[#This Row],[C1_Refrigeración]:[C8_Tiempo]],TRANSPOSE('2.PONDERACIÓN'!$L$13:$L$20))+(ROW(C89)-ROW($C$18)+1)*0.0000000001)*100</f>
        <v>200.00000072</v>
      </c>
      <c r="BR89" s="84"/>
      <c r="BS89" s="90"/>
    </row>
    <row r="90" spans="1:71" ht="34.5" hidden="1">
      <c r="A90" s="84"/>
      <c r="B90" s="90"/>
      <c r="C90" s="84"/>
      <c r="D90" s="43">
        <f>IF(T_MEDIDAS[[#This Row],[Peso Criterios]]&lt;=0,"",_xlfn.RANK.EQ(T_MEDIDAS[[#This Row],[Peso Criterios]],T_MEDIDAS[Peso Criterios]))</f>
        <v>32</v>
      </c>
      <c r="E90" s="116" t="s">
        <v>301</v>
      </c>
      <c r="F90" s="117" t="s">
        <v>72</v>
      </c>
      <c r="G90" s="117" t="s">
        <v>50</v>
      </c>
      <c r="H90" s="117" t="s">
        <v>151</v>
      </c>
      <c r="I90" s="117" t="s">
        <v>302</v>
      </c>
      <c r="J90" s="117"/>
      <c r="K90" s="120">
        <v>1</v>
      </c>
      <c r="L90" s="19"/>
      <c r="M90" s="19"/>
      <c r="N90" s="121" t="str">
        <f t="shared" si="4"/>
        <v>€</v>
      </c>
      <c r="O90" s="122"/>
      <c r="P90" s="122">
        <v>1</v>
      </c>
      <c r="Q90" s="20">
        <v>1</v>
      </c>
      <c r="R90" s="122">
        <v>1</v>
      </c>
      <c r="S90" s="34" t="str">
        <f>IF(T_MEDIDAS[[#This Row],[No risk (0)]]=1,"■","")</f>
        <v/>
      </c>
      <c r="T90" s="35" t="str">
        <f>IF(T_MEDIDAS[[#This Row],[Low risk (1)]]=1,"■","")</f>
        <v>■</v>
      </c>
      <c r="U90" s="36" t="str">
        <f>IF(T_MEDIDAS[[#This Row],[Medidaium risk (2)]]=1,"■","")</f>
        <v>■</v>
      </c>
      <c r="V90" s="81" t="str">
        <f>IF(T_MEDIDAS[[#This Row],[High risk (3)]]=1,"■","")</f>
        <v>■</v>
      </c>
      <c r="W90" s="19" t="str">
        <f t="shared" si="5"/>
        <v>4. Alto (Rojo)</v>
      </c>
      <c r="X90" s="19">
        <f>COUNT(T_MEDIDAS[[#This Row],[Edificios públicos]:[Coordinación]])</f>
        <v>1</v>
      </c>
      <c r="Y90" s="19"/>
      <c r="Z90" s="19" t="str">
        <f>IF(T_MEDIDAS[[#This Row],[Edificios públicos]]=1,"Si","No")</f>
        <v>No</v>
      </c>
      <c r="AA90" s="19"/>
      <c r="AB90" s="19" t="str">
        <f>IF(T_MEDIDAS[[#This Row],[Planificación urbana]]=1,"Si","No")</f>
        <v>No</v>
      </c>
      <c r="AC90" s="19"/>
      <c r="AD90" s="19" t="str">
        <f>IF(T_MEDIDAS[[#This Row],[Cultura y deportes]],"Si","No")</f>
        <v>No</v>
      </c>
      <c r="AE90" s="19"/>
      <c r="AF90" s="19" t="str">
        <f>IF(T_MEDIDAS[[#This Row],[Turismo]],"Si","No")</f>
        <v>No</v>
      </c>
      <c r="AG90" s="19">
        <v>1</v>
      </c>
      <c r="AH90" s="19" t="str">
        <f>IF(T_MEDIDAS[[#This Row],[Riesgos laborales]],"Si","No")</f>
        <v>Si</v>
      </c>
      <c r="AI90" s="19"/>
      <c r="AJ90" s="19" t="str">
        <f>IF(T_MEDIDAS[[#This Row],[Educación]],"Si","No")</f>
        <v>No</v>
      </c>
      <c r="AK90" s="19"/>
      <c r="AL90" s="19" t="str">
        <f>IF(T_MEDIDAS[[#This Row],[Servicios sociales]],"Si","No")</f>
        <v>No</v>
      </c>
      <c r="AM90" s="19"/>
      <c r="AN90" s="19" t="str">
        <f>IF(T_MEDIDAS[[#This Row],[Servicios de emergencia y policía]],"Si","No")</f>
        <v>No</v>
      </c>
      <c r="AO90" s="19"/>
      <c r="AP90" s="19" t="str">
        <f>IF(T_MEDIDAS[[#This Row],[Parques y jardines]],"Si","No")</f>
        <v>No</v>
      </c>
      <c r="AQ90" s="19"/>
      <c r="AR90" s="19" t="str">
        <f>IF(T_MEDIDAS[[#This Row],[Transporte]],"Si","No")</f>
        <v>No</v>
      </c>
      <c r="AS90" s="125"/>
      <c r="AT90" s="1" t="str">
        <f>IF(T_MEDIDAS[[#This Row],[Coordinación]],"Si","No")</f>
        <v>No</v>
      </c>
      <c r="AU90" s="2">
        <v>1</v>
      </c>
      <c r="AV90" s="1">
        <v>1</v>
      </c>
      <c r="AW90" s="1">
        <v>1</v>
      </c>
      <c r="AX90" s="1">
        <v>1</v>
      </c>
      <c r="AY90" s="3">
        <v>1</v>
      </c>
      <c r="AZ90" s="43">
        <f>SUMPRODUCT($AT$15:$AX$15,T_MEDIDAS[[#This Row],[&lt;5.000]:[&gt;100.000]])</f>
        <v>1</v>
      </c>
      <c r="BA90" s="1">
        <v>1</v>
      </c>
      <c r="BB90" s="1">
        <v>1</v>
      </c>
      <c r="BC90" s="1">
        <v>1</v>
      </c>
      <c r="BD90" s="1">
        <v>1</v>
      </c>
      <c r="BE90" s="1">
        <v>1</v>
      </c>
      <c r="BF90" s="1">
        <v>1</v>
      </c>
      <c r="BG90" s="1">
        <v>1</v>
      </c>
      <c r="BH90" s="43" cm="1">
        <f t="array" ref="BH90">SUMPRODUCT(--((T_MEDIDAS[[#This Row],[Centros de salud o asistencia social]:[Escuelas / Centros de educación]] + $AZ$15:$BF$15)&gt;0))</f>
        <v>7</v>
      </c>
      <c r="BI90" s="44">
        <v>0</v>
      </c>
      <c r="BJ90" s="44">
        <v>0</v>
      </c>
      <c r="BK90" s="44">
        <v>3</v>
      </c>
      <c r="BL90" s="44">
        <v>2</v>
      </c>
      <c r="BM90" s="44">
        <v>3</v>
      </c>
      <c r="BN90" s="44">
        <v>2</v>
      </c>
      <c r="BO90" s="44">
        <v>3</v>
      </c>
      <c r="BP90" s="44">
        <v>3</v>
      </c>
      <c r="BQ90" s="47" cm="1">
        <f t="array" ref="BQ90">T_MEDIDAS[[#This Row],[Aplicación tamaño]]*(SUMPRODUCT(T_MEDIDAS[[#This Row],[C1_Refrigeración]:[C8_Tiempo]],TRANSPOSE('2.PONDERACIÓN'!$L$13:$L$20))+(ROW(C90)-ROW($C$18)+1)*0.0000000001)*100</f>
        <v>200.00000073000001</v>
      </c>
      <c r="BR90" s="84"/>
      <c r="BS90" s="90"/>
    </row>
    <row r="91" spans="1:71" ht="34.5" hidden="1">
      <c r="A91" s="84"/>
      <c r="B91" s="90"/>
      <c r="C91" s="84"/>
      <c r="D91" s="43">
        <f>IF(T_MEDIDAS[[#This Row],[Peso Criterios]]&lt;=0,"",_xlfn.RANK.EQ(T_MEDIDAS[[#This Row],[Peso Criterios]],T_MEDIDAS[Peso Criterios]))</f>
        <v>31</v>
      </c>
      <c r="E91" s="116" t="s">
        <v>303</v>
      </c>
      <c r="F91" s="117" t="s">
        <v>72</v>
      </c>
      <c r="G91" s="117" t="s">
        <v>50</v>
      </c>
      <c r="H91" s="117" t="s">
        <v>151</v>
      </c>
      <c r="I91" s="117" t="s">
        <v>304</v>
      </c>
      <c r="J91" s="117"/>
      <c r="K91" s="120">
        <v>1</v>
      </c>
      <c r="L91" s="19"/>
      <c r="M91" s="19"/>
      <c r="N91" s="121" t="str">
        <f t="shared" si="4"/>
        <v>€</v>
      </c>
      <c r="O91" s="122"/>
      <c r="P91" s="122">
        <v>1</v>
      </c>
      <c r="Q91" s="20">
        <v>1</v>
      </c>
      <c r="R91" s="122">
        <v>1</v>
      </c>
      <c r="S91" s="34" t="str">
        <f>IF(T_MEDIDAS[[#This Row],[No risk (0)]]=1,"■","")</f>
        <v/>
      </c>
      <c r="T91" s="35" t="str">
        <f>IF(T_MEDIDAS[[#This Row],[Low risk (1)]]=1,"■","")</f>
        <v>■</v>
      </c>
      <c r="U91" s="36" t="str">
        <f>IF(T_MEDIDAS[[#This Row],[Medidaium risk (2)]]=1,"■","")</f>
        <v>■</v>
      </c>
      <c r="V91" s="81" t="str">
        <f>IF(T_MEDIDAS[[#This Row],[High risk (3)]]=1,"■","")</f>
        <v>■</v>
      </c>
      <c r="W91" s="19" t="str">
        <f t="shared" si="5"/>
        <v>4. Alto (Rojo)</v>
      </c>
      <c r="X91" s="19">
        <f>COUNT(T_MEDIDAS[[#This Row],[Edificios públicos]:[Coordinación]])</f>
        <v>1</v>
      </c>
      <c r="Y91" s="19"/>
      <c r="Z91" s="19" t="str">
        <f>IF(T_MEDIDAS[[#This Row],[Edificios públicos]]=1,"Si","No")</f>
        <v>No</v>
      </c>
      <c r="AA91" s="19"/>
      <c r="AB91" s="19" t="str">
        <f>IF(T_MEDIDAS[[#This Row],[Planificación urbana]]=1,"Si","No")</f>
        <v>No</v>
      </c>
      <c r="AC91" s="19"/>
      <c r="AD91" s="19" t="str">
        <f>IF(T_MEDIDAS[[#This Row],[Cultura y deportes]],"Si","No")</f>
        <v>No</v>
      </c>
      <c r="AE91" s="19"/>
      <c r="AF91" s="19" t="str">
        <f>IF(T_MEDIDAS[[#This Row],[Turismo]],"Si","No")</f>
        <v>No</v>
      </c>
      <c r="AG91" s="19">
        <v>1</v>
      </c>
      <c r="AH91" s="19" t="str">
        <f>IF(T_MEDIDAS[[#This Row],[Riesgos laborales]],"Si","No")</f>
        <v>Si</v>
      </c>
      <c r="AI91" s="19"/>
      <c r="AJ91" s="19" t="str">
        <f>IF(T_MEDIDAS[[#This Row],[Educación]],"Si","No")</f>
        <v>No</v>
      </c>
      <c r="AK91" s="19"/>
      <c r="AL91" s="19" t="str">
        <f>IF(T_MEDIDAS[[#This Row],[Servicios sociales]],"Si","No")</f>
        <v>No</v>
      </c>
      <c r="AM91" s="19"/>
      <c r="AN91" s="19" t="str">
        <f>IF(T_MEDIDAS[[#This Row],[Servicios de emergencia y policía]],"Si","No")</f>
        <v>No</v>
      </c>
      <c r="AO91" s="19"/>
      <c r="AP91" s="19" t="str">
        <f>IF(T_MEDIDAS[[#This Row],[Parques y jardines]],"Si","No")</f>
        <v>No</v>
      </c>
      <c r="AQ91" s="19"/>
      <c r="AR91" s="19" t="str">
        <f>IF(T_MEDIDAS[[#This Row],[Transporte]],"Si","No")</f>
        <v>No</v>
      </c>
      <c r="AS91" s="125"/>
      <c r="AT91" s="1" t="str">
        <f>IF(T_MEDIDAS[[#This Row],[Coordinación]],"Si","No")</f>
        <v>No</v>
      </c>
      <c r="AU91" s="2">
        <v>1</v>
      </c>
      <c r="AV91" s="1">
        <v>1</v>
      </c>
      <c r="AW91" s="1">
        <v>1</v>
      </c>
      <c r="AX91" s="1">
        <v>1</v>
      </c>
      <c r="AY91" s="3">
        <v>1</v>
      </c>
      <c r="AZ91" s="43">
        <f>SUMPRODUCT($AT$15:$AX$15,T_MEDIDAS[[#This Row],[&lt;5.000]:[&gt;100.000]])</f>
        <v>1</v>
      </c>
      <c r="BA91" s="1">
        <v>1</v>
      </c>
      <c r="BB91" s="1">
        <v>1</v>
      </c>
      <c r="BC91" s="1">
        <v>1</v>
      </c>
      <c r="BD91" s="1">
        <v>1</v>
      </c>
      <c r="BE91" s="1">
        <v>1</v>
      </c>
      <c r="BF91" s="1">
        <v>1</v>
      </c>
      <c r="BG91" s="1">
        <v>1</v>
      </c>
      <c r="BH91" s="43" cm="1">
        <f t="array" ref="BH91">SUMPRODUCT(--((T_MEDIDAS[[#This Row],[Centros de salud o asistencia social]:[Escuelas / Centros de educación]] + $AZ$15:$BF$15)&gt;0))</f>
        <v>7</v>
      </c>
      <c r="BI91" s="1">
        <v>0</v>
      </c>
      <c r="BJ91" s="1">
        <v>0</v>
      </c>
      <c r="BK91" s="1">
        <v>3</v>
      </c>
      <c r="BL91" s="1">
        <v>2</v>
      </c>
      <c r="BM91" s="1">
        <v>3</v>
      </c>
      <c r="BN91" s="1">
        <v>2</v>
      </c>
      <c r="BO91" s="1">
        <v>3</v>
      </c>
      <c r="BP91" s="1">
        <v>3</v>
      </c>
      <c r="BQ91" s="47" cm="1">
        <f t="array" ref="BQ91">T_MEDIDAS[[#This Row],[Aplicación tamaño]]*(SUMPRODUCT(T_MEDIDAS[[#This Row],[C1_Refrigeración]:[C8_Tiempo]],TRANSPOSE('2.PONDERACIÓN'!$L$13:$L$20))+(ROW(C91)-ROW($C$18)+1)*0.0000000001)*100</f>
        <v>200.00000074000002</v>
      </c>
      <c r="BR91" s="84"/>
      <c r="BS91" s="90"/>
    </row>
    <row r="92" spans="1:71" ht="34.5" hidden="1">
      <c r="A92" s="84"/>
      <c r="B92" s="90"/>
      <c r="C92" s="84"/>
      <c r="D92" s="43">
        <f>IF(T_MEDIDAS[[#This Row],[Peso Criterios]]&lt;=0,"",_xlfn.RANK.EQ(T_MEDIDAS[[#This Row],[Peso Criterios]],T_MEDIDAS[Peso Criterios]))</f>
        <v>71</v>
      </c>
      <c r="E92" s="116" t="s">
        <v>305</v>
      </c>
      <c r="F92" s="117" t="s">
        <v>72</v>
      </c>
      <c r="G92" s="117" t="s">
        <v>50</v>
      </c>
      <c r="H92" s="117" t="s">
        <v>160</v>
      </c>
      <c r="I92" s="117" t="s">
        <v>306</v>
      </c>
      <c r="J92" s="117"/>
      <c r="K92" s="120">
        <v>1</v>
      </c>
      <c r="L92" s="19"/>
      <c r="M92" s="19"/>
      <c r="N92" s="121" t="str">
        <f t="shared" si="4"/>
        <v>€</v>
      </c>
      <c r="O92" s="122"/>
      <c r="P92" s="122">
        <v>1</v>
      </c>
      <c r="Q92" s="20">
        <v>1</v>
      </c>
      <c r="R92" s="122">
        <v>1</v>
      </c>
      <c r="S92" s="34" t="str">
        <f>IF(T_MEDIDAS[[#This Row],[No risk (0)]]=1,"■","")</f>
        <v/>
      </c>
      <c r="T92" s="35" t="str">
        <f>IF(T_MEDIDAS[[#This Row],[Low risk (1)]]=1,"■","")</f>
        <v>■</v>
      </c>
      <c r="U92" s="36" t="str">
        <f>IF(T_MEDIDAS[[#This Row],[Medidaium risk (2)]]=1,"■","")</f>
        <v>■</v>
      </c>
      <c r="V92" s="81" t="str">
        <f>IF(T_MEDIDAS[[#This Row],[High risk (3)]]=1,"■","")</f>
        <v>■</v>
      </c>
      <c r="W92" s="19" t="str">
        <f t="shared" si="5"/>
        <v>4. Alto (Rojo)</v>
      </c>
      <c r="X92" s="19">
        <f>COUNT(T_MEDIDAS[[#This Row],[Edificios públicos]:[Coordinación]])</f>
        <v>1</v>
      </c>
      <c r="Y92" s="19"/>
      <c r="Z92" s="19" t="str">
        <f>IF(T_MEDIDAS[[#This Row],[Edificios públicos]]=1,"Si","No")</f>
        <v>No</v>
      </c>
      <c r="AA92" s="19"/>
      <c r="AB92" s="19" t="str">
        <f>IF(T_MEDIDAS[[#This Row],[Planificación urbana]]=1,"Si","No")</f>
        <v>No</v>
      </c>
      <c r="AC92" s="19"/>
      <c r="AD92" s="19" t="str">
        <f>IF(T_MEDIDAS[[#This Row],[Cultura y deportes]],"Si","No")</f>
        <v>No</v>
      </c>
      <c r="AE92" s="19"/>
      <c r="AF92" s="19" t="str">
        <f>IF(T_MEDIDAS[[#This Row],[Turismo]],"Si","No")</f>
        <v>No</v>
      </c>
      <c r="AG92" s="19">
        <v>1</v>
      </c>
      <c r="AH92" s="19" t="str">
        <f>IF(T_MEDIDAS[[#This Row],[Riesgos laborales]],"Si","No")</f>
        <v>Si</v>
      </c>
      <c r="AI92" s="19"/>
      <c r="AJ92" s="19" t="str">
        <f>IF(T_MEDIDAS[[#This Row],[Educación]],"Si","No")</f>
        <v>No</v>
      </c>
      <c r="AK92" s="19"/>
      <c r="AL92" s="19" t="str">
        <f>IF(T_MEDIDAS[[#This Row],[Servicios sociales]],"Si","No")</f>
        <v>No</v>
      </c>
      <c r="AM92" s="19"/>
      <c r="AN92" s="19" t="str">
        <f>IF(T_MEDIDAS[[#This Row],[Servicios de emergencia y policía]],"Si","No")</f>
        <v>No</v>
      </c>
      <c r="AO92" s="19"/>
      <c r="AP92" s="19" t="str">
        <f>IF(T_MEDIDAS[[#This Row],[Parques y jardines]],"Si","No")</f>
        <v>No</v>
      </c>
      <c r="AQ92" s="19"/>
      <c r="AR92" s="19" t="str">
        <f>IF(T_MEDIDAS[[#This Row],[Transporte]],"Si","No")</f>
        <v>No</v>
      </c>
      <c r="AS92" s="125"/>
      <c r="AT92" s="1" t="str">
        <f>IF(T_MEDIDAS[[#This Row],[Coordinación]],"Si","No")</f>
        <v>No</v>
      </c>
      <c r="AU92" s="2">
        <v>1</v>
      </c>
      <c r="AV92" s="1">
        <v>1</v>
      </c>
      <c r="AW92" s="1">
        <v>1</v>
      </c>
      <c r="AX92" s="1">
        <v>1</v>
      </c>
      <c r="AY92" s="3">
        <v>1</v>
      </c>
      <c r="AZ92" s="43">
        <f>SUMPRODUCT($AT$15:$AX$15,T_MEDIDAS[[#This Row],[&lt;5.000]:[&gt;100.000]])</f>
        <v>1</v>
      </c>
      <c r="BA92" s="1">
        <v>1</v>
      </c>
      <c r="BB92" s="1">
        <v>1</v>
      </c>
      <c r="BC92" s="1">
        <v>1</v>
      </c>
      <c r="BD92" s="1">
        <v>1</v>
      </c>
      <c r="BE92" s="1">
        <v>1</v>
      </c>
      <c r="BF92" s="1">
        <v>1</v>
      </c>
      <c r="BG92" s="1">
        <v>1</v>
      </c>
      <c r="BH92" s="43" cm="1">
        <f t="array" ref="BH92">SUMPRODUCT(--((T_MEDIDAS[[#This Row],[Centros de salud o asistencia social]:[Escuelas / Centros de educación]] + $AZ$15:$BF$15)&gt;0))</f>
        <v>7</v>
      </c>
      <c r="BI92" s="44">
        <v>0</v>
      </c>
      <c r="BJ92" s="44">
        <v>0</v>
      </c>
      <c r="BK92" s="44">
        <v>3</v>
      </c>
      <c r="BL92" s="44">
        <v>2</v>
      </c>
      <c r="BM92" s="44">
        <v>2</v>
      </c>
      <c r="BN92" s="44">
        <v>2</v>
      </c>
      <c r="BO92" s="44">
        <v>3</v>
      </c>
      <c r="BP92" s="44">
        <v>3</v>
      </c>
      <c r="BQ92" s="47" cm="1">
        <f t="array" ref="BQ92">T_MEDIDAS[[#This Row],[Aplicación tamaño]]*(SUMPRODUCT(T_MEDIDAS[[#This Row],[C1_Refrigeración]:[C8_Tiempo]],TRANSPOSE('2.PONDERACIÓN'!$L$13:$L$20))+(ROW(C92)-ROW($C$18)+1)*0.0000000001)*100</f>
        <v>187.50000075</v>
      </c>
      <c r="BR92" s="84"/>
      <c r="BS92" s="90"/>
    </row>
    <row r="93" spans="1:71" ht="34.5" hidden="1">
      <c r="A93" s="84"/>
      <c r="B93" s="90"/>
      <c r="C93" s="84"/>
      <c r="D93" s="43">
        <f>IF(T_MEDIDAS[[#This Row],[Peso Criterios]]&lt;=0,"",_xlfn.RANK.EQ(T_MEDIDAS[[#This Row],[Peso Criterios]],T_MEDIDAS[Peso Criterios]))</f>
        <v>70</v>
      </c>
      <c r="E93" s="116" t="s">
        <v>307</v>
      </c>
      <c r="F93" s="117" t="s">
        <v>72</v>
      </c>
      <c r="G93" s="117" t="s">
        <v>47</v>
      </c>
      <c r="H93" s="117" t="s">
        <v>157</v>
      </c>
      <c r="I93" s="117" t="s">
        <v>308</v>
      </c>
      <c r="J93" s="117"/>
      <c r="K93" s="120">
        <v>1</v>
      </c>
      <c r="L93" s="19"/>
      <c r="M93" s="19"/>
      <c r="N93" s="121" t="str">
        <f t="shared" si="4"/>
        <v>€</v>
      </c>
      <c r="O93" s="122"/>
      <c r="P93" s="122">
        <v>1</v>
      </c>
      <c r="Q93" s="20">
        <v>1</v>
      </c>
      <c r="R93" s="122">
        <v>1</v>
      </c>
      <c r="S93" s="34" t="str">
        <f>IF(T_MEDIDAS[[#This Row],[No risk (0)]]=1,"■","")</f>
        <v/>
      </c>
      <c r="T93" s="35" t="str">
        <f>IF(T_MEDIDAS[[#This Row],[Low risk (1)]]=1,"■","")</f>
        <v>■</v>
      </c>
      <c r="U93" s="36" t="str">
        <f>IF(T_MEDIDAS[[#This Row],[Medidaium risk (2)]]=1,"■","")</f>
        <v>■</v>
      </c>
      <c r="V93" s="81" t="str">
        <f>IF(T_MEDIDAS[[#This Row],[High risk (3)]]=1,"■","")</f>
        <v>■</v>
      </c>
      <c r="W93" s="19" t="str">
        <f t="shared" si="5"/>
        <v>4. Alto (Rojo)</v>
      </c>
      <c r="X93" s="19">
        <f>COUNT(T_MEDIDAS[[#This Row],[Edificios públicos]:[Coordinación]])</f>
        <v>1</v>
      </c>
      <c r="Y93" s="19"/>
      <c r="Z93" s="19" t="str">
        <f>IF(T_MEDIDAS[[#This Row],[Edificios públicos]]=1,"Si","No")</f>
        <v>No</v>
      </c>
      <c r="AA93" s="19"/>
      <c r="AB93" s="19" t="str">
        <f>IF(T_MEDIDAS[[#This Row],[Planificación urbana]]=1,"Si","No")</f>
        <v>No</v>
      </c>
      <c r="AC93" s="19"/>
      <c r="AD93" s="19" t="str">
        <f>IF(T_MEDIDAS[[#This Row],[Cultura y deportes]],"Si","No")</f>
        <v>No</v>
      </c>
      <c r="AE93" s="19"/>
      <c r="AF93" s="19" t="str">
        <f>IF(T_MEDIDAS[[#This Row],[Turismo]],"Si","No")</f>
        <v>No</v>
      </c>
      <c r="AG93" s="19">
        <v>1</v>
      </c>
      <c r="AH93" s="19" t="str">
        <f>IF(T_MEDIDAS[[#This Row],[Riesgos laborales]],"Si","No")</f>
        <v>Si</v>
      </c>
      <c r="AI93" s="19"/>
      <c r="AJ93" s="19" t="str">
        <f>IF(T_MEDIDAS[[#This Row],[Educación]],"Si","No")</f>
        <v>No</v>
      </c>
      <c r="AK93" s="19"/>
      <c r="AL93" s="19" t="str">
        <f>IF(T_MEDIDAS[[#This Row],[Servicios sociales]],"Si","No")</f>
        <v>No</v>
      </c>
      <c r="AM93" s="19"/>
      <c r="AN93" s="19" t="str">
        <f>IF(T_MEDIDAS[[#This Row],[Servicios de emergencia y policía]],"Si","No")</f>
        <v>No</v>
      </c>
      <c r="AO93" s="19"/>
      <c r="AP93" s="19" t="str">
        <f>IF(T_MEDIDAS[[#This Row],[Parques y jardines]],"Si","No")</f>
        <v>No</v>
      </c>
      <c r="AQ93" s="19"/>
      <c r="AR93" s="19" t="str">
        <f>IF(T_MEDIDAS[[#This Row],[Transporte]],"Si","No")</f>
        <v>No</v>
      </c>
      <c r="AS93" s="125"/>
      <c r="AT93" s="1" t="str">
        <f>IF(T_MEDIDAS[[#This Row],[Coordinación]],"Si","No")</f>
        <v>No</v>
      </c>
      <c r="AU93" s="2">
        <v>1</v>
      </c>
      <c r="AV93" s="1">
        <v>1</v>
      </c>
      <c r="AW93" s="1">
        <v>1</v>
      </c>
      <c r="AX93" s="1">
        <v>1</v>
      </c>
      <c r="AY93" s="3">
        <v>1</v>
      </c>
      <c r="AZ93" s="43">
        <f>SUMPRODUCT($AT$15:$AX$15,T_MEDIDAS[[#This Row],[&lt;5.000]:[&gt;100.000]])</f>
        <v>1</v>
      </c>
      <c r="BA93" s="1">
        <v>1</v>
      </c>
      <c r="BB93" s="1">
        <v>1</v>
      </c>
      <c r="BC93" s="1">
        <v>1</v>
      </c>
      <c r="BD93" s="1">
        <v>1</v>
      </c>
      <c r="BE93" s="1">
        <v>1</v>
      </c>
      <c r="BF93" s="1">
        <v>1</v>
      </c>
      <c r="BG93" s="1">
        <v>1</v>
      </c>
      <c r="BH93" s="43" cm="1">
        <f t="array" ref="BH93">SUMPRODUCT(--((T_MEDIDAS[[#This Row],[Centros de salud o asistencia social]:[Escuelas / Centros de educación]] + $AZ$15:$BF$15)&gt;0))</f>
        <v>7</v>
      </c>
      <c r="BI93" s="1">
        <v>0</v>
      </c>
      <c r="BJ93" s="1">
        <v>0</v>
      </c>
      <c r="BK93" s="1">
        <v>3</v>
      </c>
      <c r="BL93" s="1">
        <v>2</v>
      </c>
      <c r="BM93" s="1">
        <v>2</v>
      </c>
      <c r="BN93" s="1">
        <v>2</v>
      </c>
      <c r="BO93" s="1">
        <v>3</v>
      </c>
      <c r="BP93" s="1">
        <v>3</v>
      </c>
      <c r="BQ93" s="47" cm="1">
        <f t="array" ref="BQ93">T_MEDIDAS[[#This Row],[Aplicación tamaño]]*(SUMPRODUCT(T_MEDIDAS[[#This Row],[C1_Refrigeración]:[C8_Tiempo]],TRANSPOSE('2.PONDERACIÓN'!$L$13:$L$20))+(ROW(C93)-ROW($C$18)+1)*0.0000000001)*100</f>
        <v>187.50000076000001</v>
      </c>
      <c r="BR93" s="84"/>
      <c r="BS93" s="90"/>
    </row>
    <row r="94" spans="1:71" ht="34.5" hidden="1">
      <c r="A94" s="84"/>
      <c r="B94" s="90"/>
      <c r="C94" s="84"/>
      <c r="D94" s="43">
        <f>IF(T_MEDIDAS[[#This Row],[Peso Criterios]]&lt;=0,"",_xlfn.RANK.EQ(T_MEDIDAS[[#This Row],[Peso Criterios]],T_MEDIDAS[Peso Criterios]))</f>
        <v>110</v>
      </c>
      <c r="E94" s="116" t="s">
        <v>309</v>
      </c>
      <c r="F94" s="117" t="s">
        <v>72</v>
      </c>
      <c r="G94" s="117" t="s">
        <v>47</v>
      </c>
      <c r="H94" s="117" t="s">
        <v>154</v>
      </c>
      <c r="I94" s="126" t="s">
        <v>310</v>
      </c>
      <c r="J94" s="126"/>
      <c r="K94" s="120"/>
      <c r="L94" s="19">
        <v>1</v>
      </c>
      <c r="M94" s="19"/>
      <c r="N94" s="121" t="str">
        <f t="shared" si="4"/>
        <v>€€</v>
      </c>
      <c r="O94" s="122"/>
      <c r="P94" s="122"/>
      <c r="Q94" s="20">
        <v>1</v>
      </c>
      <c r="R94" s="122">
        <v>1</v>
      </c>
      <c r="S94" s="34" t="str">
        <f>IF(T_MEDIDAS[[#This Row],[No risk (0)]]=1,"■","")</f>
        <v/>
      </c>
      <c r="T94" s="35" t="str">
        <f>IF(T_MEDIDAS[[#This Row],[Low risk (1)]]=1,"■","")</f>
        <v/>
      </c>
      <c r="U94" s="36" t="str">
        <f>IF(T_MEDIDAS[[#This Row],[Medidaium risk (2)]]=1,"■","")</f>
        <v>■</v>
      </c>
      <c r="V94" s="81" t="str">
        <f>IF(T_MEDIDAS[[#This Row],[High risk (3)]]=1,"■","")</f>
        <v>■</v>
      </c>
      <c r="W94" s="19" t="str">
        <f t="shared" si="5"/>
        <v>4. Alto (Rojo)</v>
      </c>
      <c r="X94" s="19">
        <f>COUNT(T_MEDIDAS[[#This Row],[Edificios públicos]:[Coordinación]])</f>
        <v>1</v>
      </c>
      <c r="Y94" s="19">
        <v>1</v>
      </c>
      <c r="Z94" s="19" t="str">
        <f>IF(T_MEDIDAS[[#This Row],[Edificios públicos]]=1,"Si","No")</f>
        <v>Si</v>
      </c>
      <c r="AA94" s="19"/>
      <c r="AB94" s="19" t="str">
        <f>IF(T_MEDIDAS[[#This Row],[Planificación urbana]]=1,"Si","No")</f>
        <v>No</v>
      </c>
      <c r="AC94" s="19"/>
      <c r="AD94" s="19" t="str">
        <f>IF(T_MEDIDAS[[#This Row],[Cultura y deportes]],"Si","No")</f>
        <v>No</v>
      </c>
      <c r="AE94" s="19"/>
      <c r="AF94" s="19" t="str">
        <f>IF(T_MEDIDAS[[#This Row],[Turismo]],"Si","No")</f>
        <v>No</v>
      </c>
      <c r="AG94" s="19"/>
      <c r="AH94" s="19" t="str">
        <f>IF(T_MEDIDAS[[#This Row],[Riesgos laborales]],"Si","No")</f>
        <v>No</v>
      </c>
      <c r="AI94" s="19"/>
      <c r="AJ94" s="19" t="str">
        <f>IF(T_MEDIDAS[[#This Row],[Educación]],"Si","No")</f>
        <v>No</v>
      </c>
      <c r="AK94" s="19"/>
      <c r="AL94" s="19" t="str">
        <f>IF(T_MEDIDAS[[#This Row],[Servicios sociales]],"Si","No")</f>
        <v>No</v>
      </c>
      <c r="AM94" s="19"/>
      <c r="AN94" s="19" t="str">
        <f>IF(T_MEDIDAS[[#This Row],[Servicios de emergencia y policía]],"Si","No")</f>
        <v>No</v>
      </c>
      <c r="AO94" s="19"/>
      <c r="AP94" s="19" t="str">
        <f>IF(T_MEDIDAS[[#This Row],[Parques y jardines]],"Si","No")</f>
        <v>No</v>
      </c>
      <c r="AQ94" s="19"/>
      <c r="AR94" s="19" t="str">
        <f>IF(T_MEDIDAS[[#This Row],[Transporte]],"Si","No")</f>
        <v>No</v>
      </c>
      <c r="AS94" s="125"/>
      <c r="AT94" s="1" t="str">
        <f>IF(T_MEDIDAS[[#This Row],[Coordinación]],"Si","No")</f>
        <v>No</v>
      </c>
      <c r="AU94" s="2">
        <v>1</v>
      </c>
      <c r="AV94" s="1">
        <v>1</v>
      </c>
      <c r="AW94" s="1">
        <v>1</v>
      </c>
      <c r="AX94" s="1">
        <v>1</v>
      </c>
      <c r="AY94" s="3">
        <v>1</v>
      </c>
      <c r="AZ94" s="43">
        <f>SUMPRODUCT($AT$15:$AX$15,T_MEDIDAS[[#This Row],[&lt;5.000]:[&gt;100.000]])</f>
        <v>1</v>
      </c>
      <c r="BA94" s="1">
        <v>1</v>
      </c>
      <c r="BB94" s="1">
        <v>1</v>
      </c>
      <c r="BC94" s="1">
        <v>1</v>
      </c>
      <c r="BD94" s="1">
        <v>1</v>
      </c>
      <c r="BE94" s="1">
        <v>1</v>
      </c>
      <c r="BF94" s="1">
        <v>1</v>
      </c>
      <c r="BG94" s="1">
        <v>1</v>
      </c>
      <c r="BH94" s="43" cm="1">
        <f t="array" ref="BH94">SUMPRODUCT(--((T_MEDIDAS[[#This Row],[Centros de salud o asistencia social]:[Escuelas / Centros de educación]] + $AZ$15:$BF$15)&gt;0))</f>
        <v>7</v>
      </c>
      <c r="BI94" s="44">
        <v>0</v>
      </c>
      <c r="BJ94" s="44">
        <v>0</v>
      </c>
      <c r="BK94" s="44">
        <v>2</v>
      </c>
      <c r="BL94" s="44">
        <v>3</v>
      </c>
      <c r="BM94" s="44">
        <v>2</v>
      </c>
      <c r="BN94" s="44">
        <v>2</v>
      </c>
      <c r="BO94" s="44">
        <v>2</v>
      </c>
      <c r="BP94" s="44">
        <v>2</v>
      </c>
      <c r="BQ94" s="47" cm="1">
        <f t="array" ref="BQ94">T_MEDIDAS[[#This Row],[Aplicación tamaño]]*(SUMPRODUCT(T_MEDIDAS[[#This Row],[C1_Refrigeración]:[C8_Tiempo]],TRANSPOSE('2.PONDERACIÓN'!$L$13:$L$20))+(ROW(C94)-ROW($C$18)+1)*0.0000000001)*100</f>
        <v>162.50000076999999</v>
      </c>
      <c r="BR94" s="84"/>
      <c r="BS94" s="90"/>
    </row>
    <row r="95" spans="1:71" ht="34.5" hidden="1">
      <c r="A95" s="84"/>
      <c r="B95" s="90"/>
      <c r="C95" s="84"/>
      <c r="D95" s="43">
        <f>IF(T_MEDIDAS[[#This Row],[Peso Criterios]]&lt;=0,"",_xlfn.RANK.EQ(T_MEDIDAS[[#This Row],[Peso Criterios]],T_MEDIDAS[Peso Criterios]))</f>
        <v>30</v>
      </c>
      <c r="E95" s="116" t="s">
        <v>311</v>
      </c>
      <c r="F95" s="117" t="s">
        <v>72</v>
      </c>
      <c r="G95" s="117" t="s">
        <v>50</v>
      </c>
      <c r="H95" s="117" t="s">
        <v>160</v>
      </c>
      <c r="I95" s="117" t="s">
        <v>312</v>
      </c>
      <c r="J95" s="117"/>
      <c r="K95" s="120">
        <v>1</v>
      </c>
      <c r="L95" s="19"/>
      <c r="M95" s="19"/>
      <c r="N95" s="121" t="str">
        <f t="shared" si="4"/>
        <v>€</v>
      </c>
      <c r="O95" s="122"/>
      <c r="P95" s="122"/>
      <c r="Q95" s="20">
        <v>1</v>
      </c>
      <c r="R95" s="122">
        <v>1</v>
      </c>
      <c r="S95" s="34" t="str">
        <f>IF(T_MEDIDAS[[#This Row],[No risk (0)]]=1,"■","")</f>
        <v/>
      </c>
      <c r="T95" s="35" t="str">
        <f>IF(T_MEDIDAS[[#This Row],[Low risk (1)]]=1,"■","")</f>
        <v/>
      </c>
      <c r="U95" s="36" t="str">
        <f>IF(T_MEDIDAS[[#This Row],[Medidaium risk (2)]]=1,"■","")</f>
        <v>■</v>
      </c>
      <c r="V95" s="81" t="str">
        <f>IF(T_MEDIDAS[[#This Row],[High risk (3)]]=1,"■","")</f>
        <v>■</v>
      </c>
      <c r="W95" s="19" t="str">
        <f t="shared" si="5"/>
        <v>4. Alto (Rojo)</v>
      </c>
      <c r="X95" s="19">
        <f>COUNT(T_MEDIDAS[[#This Row],[Edificios públicos]:[Coordinación]])</f>
        <v>1</v>
      </c>
      <c r="Y95" s="19"/>
      <c r="Z95" s="19" t="str">
        <f>IF(T_MEDIDAS[[#This Row],[Edificios públicos]]=1,"Si","No")</f>
        <v>No</v>
      </c>
      <c r="AA95" s="19"/>
      <c r="AB95" s="19" t="str">
        <f>IF(T_MEDIDAS[[#This Row],[Planificación urbana]]=1,"Si","No")</f>
        <v>No</v>
      </c>
      <c r="AC95" s="19"/>
      <c r="AD95" s="19" t="str">
        <f>IF(T_MEDIDAS[[#This Row],[Cultura y deportes]],"Si","No")</f>
        <v>No</v>
      </c>
      <c r="AE95" s="19"/>
      <c r="AF95" s="19" t="str">
        <f>IF(T_MEDIDAS[[#This Row],[Turismo]],"Si","No")</f>
        <v>No</v>
      </c>
      <c r="AG95" s="19">
        <v>1</v>
      </c>
      <c r="AH95" s="19" t="str">
        <f>IF(T_MEDIDAS[[#This Row],[Riesgos laborales]],"Si","No")</f>
        <v>Si</v>
      </c>
      <c r="AI95" s="19"/>
      <c r="AJ95" s="19" t="str">
        <f>IF(T_MEDIDAS[[#This Row],[Educación]],"Si","No")</f>
        <v>No</v>
      </c>
      <c r="AK95" s="19"/>
      <c r="AL95" s="19" t="str">
        <f>IF(T_MEDIDAS[[#This Row],[Servicios sociales]],"Si","No")</f>
        <v>No</v>
      </c>
      <c r="AM95" s="19"/>
      <c r="AN95" s="19" t="str">
        <f>IF(T_MEDIDAS[[#This Row],[Servicios de emergencia y policía]],"Si","No")</f>
        <v>No</v>
      </c>
      <c r="AO95" s="19"/>
      <c r="AP95" s="19" t="str">
        <f>IF(T_MEDIDAS[[#This Row],[Parques y jardines]],"Si","No")</f>
        <v>No</v>
      </c>
      <c r="AQ95" s="19"/>
      <c r="AR95" s="19" t="str">
        <f>IF(T_MEDIDAS[[#This Row],[Transporte]],"Si","No")</f>
        <v>No</v>
      </c>
      <c r="AS95" s="125"/>
      <c r="AT95" s="1" t="str">
        <f>IF(T_MEDIDAS[[#This Row],[Coordinación]],"Si","No")</f>
        <v>No</v>
      </c>
      <c r="AU95" s="2">
        <v>1</v>
      </c>
      <c r="AV95" s="1">
        <v>1</v>
      </c>
      <c r="AW95" s="1">
        <v>1</v>
      </c>
      <c r="AX95" s="1">
        <v>1</v>
      </c>
      <c r="AY95" s="3">
        <v>1</v>
      </c>
      <c r="AZ95" s="43">
        <f>SUMPRODUCT($AT$15:$AX$15,T_MEDIDAS[[#This Row],[&lt;5.000]:[&gt;100.000]])</f>
        <v>1</v>
      </c>
      <c r="BA95" s="1">
        <v>1</v>
      </c>
      <c r="BB95" s="1">
        <v>1</v>
      </c>
      <c r="BC95" s="1">
        <v>1</v>
      </c>
      <c r="BD95" s="1">
        <v>1</v>
      </c>
      <c r="BE95" s="1">
        <v>1</v>
      </c>
      <c r="BF95" s="1">
        <v>1</v>
      </c>
      <c r="BG95" s="1">
        <v>1</v>
      </c>
      <c r="BH95" s="43" cm="1">
        <f t="array" ref="BH95">SUMPRODUCT(--((T_MEDIDAS[[#This Row],[Centros de salud o asistencia social]:[Escuelas / Centros de educación]] + $AZ$15:$BF$15)&gt;0))</f>
        <v>7</v>
      </c>
      <c r="BI95" s="1">
        <v>0</v>
      </c>
      <c r="BJ95" s="1">
        <v>0</v>
      </c>
      <c r="BK95" s="1">
        <v>3</v>
      </c>
      <c r="BL95" s="1">
        <v>2</v>
      </c>
      <c r="BM95" s="1">
        <v>3</v>
      </c>
      <c r="BN95" s="1">
        <v>2</v>
      </c>
      <c r="BO95" s="1">
        <v>3</v>
      </c>
      <c r="BP95" s="1">
        <v>3</v>
      </c>
      <c r="BQ95" s="47" cm="1">
        <f t="array" ref="BQ95">T_MEDIDAS[[#This Row],[Aplicación tamaño]]*(SUMPRODUCT(T_MEDIDAS[[#This Row],[C1_Refrigeración]:[C8_Tiempo]],TRANSPOSE('2.PONDERACIÓN'!$L$13:$L$20))+(ROW(C95)-ROW($C$18)+1)*0.0000000001)*100</f>
        <v>200.00000078000002</v>
      </c>
      <c r="BR95" s="84"/>
      <c r="BS95" s="90"/>
    </row>
    <row r="96" spans="1:71" ht="34.5" hidden="1">
      <c r="A96" s="84"/>
      <c r="B96" s="90"/>
      <c r="C96" s="84"/>
      <c r="D96" s="43">
        <f>IF(T_MEDIDAS[[#This Row],[Peso Criterios]]&lt;=0,"",_xlfn.RANK.EQ(T_MEDIDAS[[#This Row],[Peso Criterios]],T_MEDIDAS[Peso Criterios]))</f>
        <v>69</v>
      </c>
      <c r="E96" s="116" t="s">
        <v>313</v>
      </c>
      <c r="F96" s="117" t="s">
        <v>72</v>
      </c>
      <c r="G96" s="117" t="s">
        <v>56</v>
      </c>
      <c r="H96" s="117" t="s">
        <v>171</v>
      </c>
      <c r="I96" s="117" t="s">
        <v>314</v>
      </c>
      <c r="J96" s="117"/>
      <c r="K96" s="120">
        <v>1</v>
      </c>
      <c r="L96" s="19"/>
      <c r="M96" s="19"/>
      <c r="N96" s="121" t="str">
        <f t="shared" si="4"/>
        <v>€</v>
      </c>
      <c r="O96" s="122"/>
      <c r="P96" s="122">
        <v>1</v>
      </c>
      <c r="Q96" s="20">
        <v>1</v>
      </c>
      <c r="R96" s="122">
        <v>1</v>
      </c>
      <c r="S96" s="34" t="str">
        <f>IF(T_MEDIDAS[[#This Row],[No risk (0)]]=1,"■","")</f>
        <v/>
      </c>
      <c r="T96" s="35" t="str">
        <f>IF(T_MEDIDAS[[#This Row],[Low risk (1)]]=1,"■","")</f>
        <v>■</v>
      </c>
      <c r="U96" s="36" t="str">
        <f>IF(T_MEDIDAS[[#This Row],[Medidaium risk (2)]]=1,"■","")</f>
        <v>■</v>
      </c>
      <c r="V96" s="81" t="str">
        <f>IF(T_MEDIDAS[[#This Row],[High risk (3)]]=1,"■","")</f>
        <v>■</v>
      </c>
      <c r="W96" s="19" t="str">
        <f t="shared" si="5"/>
        <v>4. Alto (Rojo)</v>
      </c>
      <c r="X96" s="19">
        <f>COUNT(T_MEDIDAS[[#This Row],[Edificios públicos]:[Coordinación]])</f>
        <v>1</v>
      </c>
      <c r="Y96" s="19"/>
      <c r="Z96" s="19" t="str">
        <f>IF(T_MEDIDAS[[#This Row],[Edificios públicos]]=1,"Si","No")</f>
        <v>No</v>
      </c>
      <c r="AA96" s="19"/>
      <c r="AB96" s="19" t="str">
        <f>IF(T_MEDIDAS[[#This Row],[Planificación urbana]]=1,"Si","No")</f>
        <v>No</v>
      </c>
      <c r="AC96" s="19">
        <v>1</v>
      </c>
      <c r="AD96" s="19" t="str">
        <f>IF(T_MEDIDAS[[#This Row],[Cultura y deportes]],"Si","No")</f>
        <v>Si</v>
      </c>
      <c r="AE96" s="19"/>
      <c r="AF96" s="19" t="str">
        <f>IF(T_MEDIDAS[[#This Row],[Turismo]],"Si","No")</f>
        <v>No</v>
      </c>
      <c r="AG96" s="19"/>
      <c r="AH96" s="19" t="str">
        <f>IF(T_MEDIDAS[[#This Row],[Riesgos laborales]],"Si","No")</f>
        <v>No</v>
      </c>
      <c r="AI96" s="19"/>
      <c r="AJ96" s="19" t="str">
        <f>IF(T_MEDIDAS[[#This Row],[Educación]],"Si","No")</f>
        <v>No</v>
      </c>
      <c r="AK96" s="19"/>
      <c r="AL96" s="19" t="str">
        <f>IF(T_MEDIDAS[[#This Row],[Servicios sociales]],"Si","No")</f>
        <v>No</v>
      </c>
      <c r="AM96" s="19"/>
      <c r="AN96" s="19" t="str">
        <f>IF(T_MEDIDAS[[#This Row],[Servicios de emergencia y policía]],"Si","No")</f>
        <v>No</v>
      </c>
      <c r="AO96" s="19"/>
      <c r="AP96" s="19" t="str">
        <f>IF(T_MEDIDAS[[#This Row],[Parques y jardines]],"Si","No")</f>
        <v>No</v>
      </c>
      <c r="AQ96" s="19"/>
      <c r="AR96" s="19" t="str">
        <f>IF(T_MEDIDAS[[#This Row],[Transporte]],"Si","No")</f>
        <v>No</v>
      </c>
      <c r="AS96" s="125"/>
      <c r="AT96" s="1" t="str">
        <f>IF(T_MEDIDAS[[#This Row],[Coordinación]],"Si","No")</f>
        <v>No</v>
      </c>
      <c r="AU96" s="2">
        <v>1</v>
      </c>
      <c r="AV96" s="1">
        <v>1</v>
      </c>
      <c r="AW96" s="1">
        <v>1</v>
      </c>
      <c r="AX96" s="1">
        <v>1</v>
      </c>
      <c r="AY96" s="3">
        <v>1</v>
      </c>
      <c r="AZ96" s="43">
        <f>SUMPRODUCT($AT$15:$AX$15,T_MEDIDAS[[#This Row],[&lt;5.000]:[&gt;100.000]])</f>
        <v>1</v>
      </c>
      <c r="BA96" s="1">
        <v>1</v>
      </c>
      <c r="BB96" s="1">
        <v>1</v>
      </c>
      <c r="BC96" s="1">
        <v>1</v>
      </c>
      <c r="BD96" s="1">
        <v>1</v>
      </c>
      <c r="BE96" s="1">
        <v>1</v>
      </c>
      <c r="BF96" s="1">
        <v>1</v>
      </c>
      <c r="BG96" s="1">
        <v>1</v>
      </c>
      <c r="BH96" s="43" cm="1">
        <f t="array" ref="BH96">SUMPRODUCT(--((T_MEDIDAS[[#This Row],[Centros de salud o asistencia social]:[Escuelas / Centros de educación]] + $AZ$15:$BF$15)&gt;0))</f>
        <v>7</v>
      </c>
      <c r="BI96" s="44">
        <v>0</v>
      </c>
      <c r="BJ96" s="44">
        <v>0</v>
      </c>
      <c r="BK96" s="44">
        <v>2</v>
      </c>
      <c r="BL96" s="44">
        <v>2</v>
      </c>
      <c r="BM96" s="44">
        <v>3</v>
      </c>
      <c r="BN96" s="44">
        <v>2</v>
      </c>
      <c r="BO96" s="44">
        <v>3</v>
      </c>
      <c r="BP96" s="44">
        <v>3</v>
      </c>
      <c r="BQ96" s="47" cm="1">
        <f t="array" ref="BQ96">T_MEDIDAS[[#This Row],[Aplicación tamaño]]*(SUMPRODUCT(T_MEDIDAS[[#This Row],[C1_Refrigeración]:[C8_Tiempo]],TRANSPOSE('2.PONDERACIÓN'!$L$13:$L$20))+(ROW(C96)-ROW($C$18)+1)*0.0000000001)*100</f>
        <v>187.50000079</v>
      </c>
      <c r="BR96" s="84"/>
      <c r="BS96" s="90"/>
    </row>
    <row r="97" spans="1:71" ht="34.5" hidden="1">
      <c r="A97" s="84"/>
      <c r="B97" s="90"/>
      <c r="C97" s="84"/>
      <c r="D97" s="43">
        <f>IF(T_MEDIDAS[[#This Row],[Peso Criterios]]&lt;=0,"",_xlfn.RANK.EQ(T_MEDIDAS[[#This Row],[Peso Criterios]],T_MEDIDAS[Peso Criterios]))</f>
        <v>68</v>
      </c>
      <c r="E97" s="116" t="s">
        <v>315</v>
      </c>
      <c r="F97" s="117" t="s">
        <v>72</v>
      </c>
      <c r="G97" s="117" t="s">
        <v>56</v>
      </c>
      <c r="H97" s="117" t="s">
        <v>273</v>
      </c>
      <c r="I97" s="117" t="s">
        <v>316</v>
      </c>
      <c r="J97" s="117"/>
      <c r="K97" s="120">
        <v>1</v>
      </c>
      <c r="L97" s="19"/>
      <c r="M97" s="19"/>
      <c r="N97" s="121" t="str">
        <f t="shared" si="4"/>
        <v>€</v>
      </c>
      <c r="O97" s="122"/>
      <c r="P97" s="122"/>
      <c r="Q97" s="20"/>
      <c r="R97" s="122">
        <v>1</v>
      </c>
      <c r="S97" s="34" t="str">
        <f>IF(T_MEDIDAS[[#This Row],[No risk (0)]]=1,"■","")</f>
        <v/>
      </c>
      <c r="T97" s="35" t="str">
        <f>IF(T_MEDIDAS[[#This Row],[Low risk (1)]]=1,"■","")</f>
        <v/>
      </c>
      <c r="U97" s="36" t="str">
        <f>IF(T_MEDIDAS[[#This Row],[Medidaium risk (2)]]=1,"■","")</f>
        <v/>
      </c>
      <c r="V97" s="81" t="str">
        <f>IF(T_MEDIDAS[[#This Row],[High risk (3)]]=1,"■","")</f>
        <v>■</v>
      </c>
      <c r="W97" s="19" t="str">
        <f t="shared" si="5"/>
        <v>4. Alto (Rojo)</v>
      </c>
      <c r="X97" s="19">
        <f>COUNT(T_MEDIDAS[[#This Row],[Edificios públicos]:[Coordinación]])</f>
        <v>2</v>
      </c>
      <c r="Y97" s="19"/>
      <c r="Z97" s="19" t="str">
        <f>IF(T_MEDIDAS[[#This Row],[Edificios públicos]]=1,"Si","No")</f>
        <v>No</v>
      </c>
      <c r="AA97" s="19"/>
      <c r="AB97" s="19" t="str">
        <f>IF(T_MEDIDAS[[#This Row],[Planificación urbana]]=1,"Si","No")</f>
        <v>No</v>
      </c>
      <c r="AC97" s="19">
        <v>1</v>
      </c>
      <c r="AD97" s="19" t="str">
        <f>IF(T_MEDIDAS[[#This Row],[Cultura y deportes]],"Si","No")</f>
        <v>Si</v>
      </c>
      <c r="AE97" s="19">
        <v>1</v>
      </c>
      <c r="AF97" s="19" t="str">
        <f>IF(T_MEDIDAS[[#This Row],[Turismo]],"Si","No")</f>
        <v>Si</v>
      </c>
      <c r="AG97" s="19"/>
      <c r="AH97" s="19" t="str">
        <f>IF(T_MEDIDAS[[#This Row],[Riesgos laborales]],"Si","No")</f>
        <v>No</v>
      </c>
      <c r="AI97" s="19"/>
      <c r="AJ97" s="19" t="str">
        <f>IF(T_MEDIDAS[[#This Row],[Educación]],"Si","No")</f>
        <v>No</v>
      </c>
      <c r="AK97" s="19"/>
      <c r="AL97" s="19" t="str">
        <f>IF(T_MEDIDAS[[#This Row],[Servicios sociales]],"Si","No")</f>
        <v>No</v>
      </c>
      <c r="AM97" s="19"/>
      <c r="AN97" s="19" t="str">
        <f>IF(T_MEDIDAS[[#This Row],[Servicios de emergencia y policía]],"Si","No")</f>
        <v>No</v>
      </c>
      <c r="AO97" s="19"/>
      <c r="AP97" s="19" t="str">
        <f>IF(T_MEDIDAS[[#This Row],[Parques y jardines]],"Si","No")</f>
        <v>No</v>
      </c>
      <c r="AQ97" s="19"/>
      <c r="AR97" s="19" t="str">
        <f>IF(T_MEDIDAS[[#This Row],[Transporte]],"Si","No")</f>
        <v>No</v>
      </c>
      <c r="AS97" s="125"/>
      <c r="AT97" s="1" t="str">
        <f>IF(T_MEDIDAS[[#This Row],[Coordinación]],"Si","No")</f>
        <v>No</v>
      </c>
      <c r="AU97" s="2">
        <v>1</v>
      </c>
      <c r="AV97" s="1">
        <v>1</v>
      </c>
      <c r="AW97" s="1">
        <v>1</v>
      </c>
      <c r="AX97" s="1">
        <v>1</v>
      </c>
      <c r="AY97" s="3">
        <v>1</v>
      </c>
      <c r="AZ97" s="43">
        <f>SUMPRODUCT($AT$15:$AX$15,T_MEDIDAS[[#This Row],[&lt;5.000]:[&gt;100.000]])</f>
        <v>1</v>
      </c>
      <c r="BA97" s="1">
        <v>1</v>
      </c>
      <c r="BB97" s="1">
        <v>1</v>
      </c>
      <c r="BC97" s="1">
        <v>1</v>
      </c>
      <c r="BD97" s="1">
        <v>1</v>
      </c>
      <c r="BE97" s="1">
        <v>1</v>
      </c>
      <c r="BF97" s="1">
        <v>1</v>
      </c>
      <c r="BG97" s="1">
        <v>1</v>
      </c>
      <c r="BH97" s="43" cm="1">
        <f t="array" ref="BH97">SUMPRODUCT(--((T_MEDIDAS[[#This Row],[Centros de salud o asistencia social]:[Escuelas / Centros de educación]] + $AZ$15:$BF$15)&gt;0))</f>
        <v>7</v>
      </c>
      <c r="BI97" s="1">
        <v>0</v>
      </c>
      <c r="BJ97" s="1">
        <v>0</v>
      </c>
      <c r="BK97" s="1">
        <v>2</v>
      </c>
      <c r="BL97" s="1">
        <v>2</v>
      </c>
      <c r="BM97" s="1">
        <v>3</v>
      </c>
      <c r="BN97" s="1">
        <v>2</v>
      </c>
      <c r="BO97" s="1">
        <v>3</v>
      </c>
      <c r="BP97" s="1">
        <v>3</v>
      </c>
      <c r="BQ97" s="47" cm="1">
        <f t="array" ref="BQ97">T_MEDIDAS[[#This Row],[Aplicación tamaño]]*(SUMPRODUCT(T_MEDIDAS[[#This Row],[C1_Refrigeración]:[C8_Tiempo]],TRANSPOSE('2.PONDERACIÓN'!$L$13:$L$20))+(ROW(C97)-ROW($C$18)+1)*0.0000000001)*100</f>
        <v>187.50000080000001</v>
      </c>
      <c r="BR97" s="84"/>
      <c r="BS97" s="90"/>
    </row>
    <row r="98" spans="1:71" ht="34.5" hidden="1">
      <c r="A98" s="84"/>
      <c r="B98" s="90"/>
      <c r="C98" s="84"/>
      <c r="D98" s="43">
        <f>IF(T_MEDIDAS[[#This Row],[Peso Criterios]]&lt;=0,"",_xlfn.RANK.EQ(T_MEDIDAS[[#This Row],[Peso Criterios]],T_MEDIDAS[Peso Criterios]))</f>
        <v>29</v>
      </c>
      <c r="E98" s="116" t="s">
        <v>317</v>
      </c>
      <c r="F98" s="117" t="s">
        <v>72</v>
      </c>
      <c r="G98" s="117" t="s">
        <v>50</v>
      </c>
      <c r="H98" s="117" t="s">
        <v>160</v>
      </c>
      <c r="I98" s="117" t="s">
        <v>318</v>
      </c>
      <c r="J98" s="117"/>
      <c r="K98" s="120">
        <v>1</v>
      </c>
      <c r="L98" s="19"/>
      <c r="M98" s="19"/>
      <c r="N98" s="121" t="str">
        <f t="shared" si="4"/>
        <v>€</v>
      </c>
      <c r="O98" s="122"/>
      <c r="P98" s="122"/>
      <c r="Q98" s="20">
        <v>1</v>
      </c>
      <c r="R98" s="122">
        <v>1</v>
      </c>
      <c r="S98" s="34" t="str">
        <f>IF(T_MEDIDAS[[#This Row],[No risk (0)]]=1,"■","")</f>
        <v/>
      </c>
      <c r="T98" s="35" t="str">
        <f>IF(T_MEDIDAS[[#This Row],[Low risk (1)]]=1,"■","")</f>
        <v/>
      </c>
      <c r="U98" s="36" t="str">
        <f>IF(T_MEDIDAS[[#This Row],[Medidaium risk (2)]]=1,"■","")</f>
        <v>■</v>
      </c>
      <c r="V98" s="81" t="str">
        <f>IF(T_MEDIDAS[[#This Row],[High risk (3)]]=1,"■","")</f>
        <v>■</v>
      </c>
      <c r="W98" s="19" t="str">
        <f t="shared" si="5"/>
        <v>4. Alto (Rojo)</v>
      </c>
      <c r="X98" s="19">
        <f>COUNT(T_MEDIDAS[[#This Row],[Edificios públicos]:[Coordinación]])</f>
        <v>1</v>
      </c>
      <c r="Y98" s="19"/>
      <c r="Z98" s="19" t="str">
        <f>IF(T_MEDIDAS[[#This Row],[Edificios públicos]]=1,"Si","No")</f>
        <v>No</v>
      </c>
      <c r="AA98" s="19"/>
      <c r="AB98" s="19" t="str">
        <f>IF(T_MEDIDAS[[#This Row],[Planificación urbana]]=1,"Si","No")</f>
        <v>No</v>
      </c>
      <c r="AC98" s="19"/>
      <c r="AD98" s="19" t="str">
        <f>IF(T_MEDIDAS[[#This Row],[Cultura y deportes]],"Si","No")</f>
        <v>No</v>
      </c>
      <c r="AE98" s="19"/>
      <c r="AF98" s="19" t="str">
        <f>IF(T_MEDIDAS[[#This Row],[Turismo]],"Si","No")</f>
        <v>No</v>
      </c>
      <c r="AG98" s="19"/>
      <c r="AH98" s="19" t="str">
        <f>IF(T_MEDIDAS[[#This Row],[Riesgos laborales]],"Si","No")</f>
        <v>No</v>
      </c>
      <c r="AI98" s="19">
        <v>1</v>
      </c>
      <c r="AJ98" s="19" t="str">
        <f>IF(T_MEDIDAS[[#This Row],[Educación]],"Si","No")</f>
        <v>Si</v>
      </c>
      <c r="AK98" s="19"/>
      <c r="AL98" s="19" t="str">
        <f>IF(T_MEDIDAS[[#This Row],[Servicios sociales]],"Si","No")</f>
        <v>No</v>
      </c>
      <c r="AM98" s="19"/>
      <c r="AN98" s="19" t="str">
        <f>IF(T_MEDIDAS[[#This Row],[Servicios de emergencia y policía]],"Si","No")</f>
        <v>No</v>
      </c>
      <c r="AO98" s="19"/>
      <c r="AP98" s="19" t="str">
        <f>IF(T_MEDIDAS[[#This Row],[Parques y jardines]],"Si","No")</f>
        <v>No</v>
      </c>
      <c r="AQ98" s="19"/>
      <c r="AR98" s="19" t="str">
        <f>IF(T_MEDIDAS[[#This Row],[Transporte]],"Si","No")</f>
        <v>No</v>
      </c>
      <c r="AS98" s="125"/>
      <c r="AT98" s="1" t="str">
        <f>IF(T_MEDIDAS[[#This Row],[Coordinación]],"Si","No")</f>
        <v>No</v>
      </c>
      <c r="AU98" s="2">
        <v>1</v>
      </c>
      <c r="AV98" s="1">
        <v>1</v>
      </c>
      <c r="AW98" s="1">
        <v>1</v>
      </c>
      <c r="AX98" s="1">
        <v>1</v>
      </c>
      <c r="AY98" s="3">
        <v>1</v>
      </c>
      <c r="AZ98" s="43">
        <f>SUMPRODUCT($AT$15:$AX$15,T_MEDIDAS[[#This Row],[&lt;5.000]:[&gt;100.000]])</f>
        <v>1</v>
      </c>
      <c r="BA98" s="1">
        <v>1</v>
      </c>
      <c r="BB98" s="1">
        <v>1</v>
      </c>
      <c r="BC98" s="1">
        <v>1</v>
      </c>
      <c r="BD98" s="1">
        <v>1</v>
      </c>
      <c r="BE98" s="1">
        <v>1</v>
      </c>
      <c r="BF98" s="1">
        <v>1</v>
      </c>
      <c r="BG98" s="1"/>
      <c r="BH98" s="43" cm="1">
        <f t="array" ref="BH98">SUMPRODUCT(--((T_MEDIDAS[[#This Row],[Centros de salud o asistencia social]:[Escuelas / Centros de educación]] + $AZ$15:$BF$15)&gt;0))</f>
        <v>6</v>
      </c>
      <c r="BI98" s="44">
        <v>0</v>
      </c>
      <c r="BJ98" s="44">
        <v>0</v>
      </c>
      <c r="BK98" s="44">
        <v>3</v>
      </c>
      <c r="BL98" s="44">
        <v>2</v>
      </c>
      <c r="BM98" s="44">
        <v>3</v>
      </c>
      <c r="BN98" s="44">
        <v>2</v>
      </c>
      <c r="BO98" s="44">
        <v>3</v>
      </c>
      <c r="BP98" s="44">
        <v>3</v>
      </c>
      <c r="BQ98" s="47" cm="1">
        <f t="array" ref="BQ98">T_MEDIDAS[[#This Row],[Aplicación tamaño]]*(SUMPRODUCT(T_MEDIDAS[[#This Row],[C1_Refrigeración]:[C8_Tiempo]],TRANSPOSE('2.PONDERACIÓN'!$L$13:$L$20))+(ROW(C98)-ROW($C$18)+1)*0.0000000001)*100</f>
        <v>200.00000080999999</v>
      </c>
      <c r="BR98" s="84"/>
      <c r="BS98" s="90"/>
    </row>
    <row r="99" spans="1:71" ht="34.5" hidden="1">
      <c r="A99" s="84"/>
      <c r="B99" s="90"/>
      <c r="C99" s="84"/>
      <c r="D99" s="43">
        <f>IF(T_MEDIDAS[[#This Row],[Peso Criterios]]&lt;=0,"",_xlfn.RANK.EQ(T_MEDIDAS[[#This Row],[Peso Criterios]],T_MEDIDAS[Peso Criterios]))</f>
        <v>67</v>
      </c>
      <c r="E99" s="116" t="s">
        <v>319</v>
      </c>
      <c r="F99" s="117" t="s">
        <v>72</v>
      </c>
      <c r="G99" s="117" t="s">
        <v>50</v>
      </c>
      <c r="H99" s="117" t="s">
        <v>151</v>
      </c>
      <c r="I99" s="117" t="s">
        <v>320</v>
      </c>
      <c r="J99" s="117"/>
      <c r="K99" s="120">
        <v>1</v>
      </c>
      <c r="L99" s="19"/>
      <c r="M99" s="19"/>
      <c r="N99" s="121" t="str">
        <f t="shared" si="4"/>
        <v>€</v>
      </c>
      <c r="O99" s="122"/>
      <c r="P99" s="122"/>
      <c r="Q99" s="20">
        <v>1</v>
      </c>
      <c r="R99" s="122">
        <v>1</v>
      </c>
      <c r="S99" s="34" t="str">
        <f>IF(T_MEDIDAS[[#This Row],[No risk (0)]]=1,"■","")</f>
        <v/>
      </c>
      <c r="T99" s="35" t="str">
        <f>IF(T_MEDIDAS[[#This Row],[Low risk (1)]]=1,"■","")</f>
        <v/>
      </c>
      <c r="U99" s="36" t="str">
        <f>IF(T_MEDIDAS[[#This Row],[Medidaium risk (2)]]=1,"■","")</f>
        <v>■</v>
      </c>
      <c r="V99" s="81" t="str">
        <f>IF(T_MEDIDAS[[#This Row],[High risk (3)]]=1,"■","")</f>
        <v>■</v>
      </c>
      <c r="W99" s="19" t="str">
        <f t="shared" si="5"/>
        <v>4. Alto (Rojo)</v>
      </c>
      <c r="X99" s="19">
        <f>COUNT(T_MEDIDAS[[#This Row],[Edificios públicos]:[Coordinación]])</f>
        <v>4</v>
      </c>
      <c r="Y99" s="19">
        <v>1</v>
      </c>
      <c r="Z99" s="19" t="str">
        <f>IF(T_MEDIDAS[[#This Row],[Edificios públicos]]=1,"Si","No")</f>
        <v>Si</v>
      </c>
      <c r="AA99" s="19"/>
      <c r="AB99" s="19" t="str">
        <f>IF(T_MEDIDAS[[#This Row],[Planificación urbana]]=1,"Si","No")</f>
        <v>No</v>
      </c>
      <c r="AC99" s="19">
        <v>1</v>
      </c>
      <c r="AD99" s="19" t="str">
        <f>IF(T_MEDIDAS[[#This Row],[Cultura y deportes]],"Si","No")</f>
        <v>Si</v>
      </c>
      <c r="AE99" s="19"/>
      <c r="AF99" s="19" t="str">
        <f>IF(T_MEDIDAS[[#This Row],[Turismo]],"Si","No")</f>
        <v>No</v>
      </c>
      <c r="AG99" s="19"/>
      <c r="AH99" s="19" t="str">
        <f>IF(T_MEDIDAS[[#This Row],[Riesgos laborales]],"Si","No")</f>
        <v>No</v>
      </c>
      <c r="AI99" s="19">
        <v>1</v>
      </c>
      <c r="AJ99" s="19" t="str">
        <f>IF(T_MEDIDAS[[#This Row],[Educación]],"Si","No")</f>
        <v>Si</v>
      </c>
      <c r="AK99" s="19">
        <v>1</v>
      </c>
      <c r="AL99" s="19" t="str">
        <f>IF(T_MEDIDAS[[#This Row],[Servicios sociales]],"Si","No")</f>
        <v>Si</v>
      </c>
      <c r="AM99" s="19"/>
      <c r="AN99" s="19" t="str">
        <f>IF(T_MEDIDAS[[#This Row],[Servicios de emergencia y policía]],"Si","No")</f>
        <v>No</v>
      </c>
      <c r="AO99" s="19"/>
      <c r="AP99" s="19" t="str">
        <f>IF(T_MEDIDAS[[#This Row],[Parques y jardines]],"Si","No")</f>
        <v>No</v>
      </c>
      <c r="AQ99" s="19"/>
      <c r="AR99" s="19" t="str">
        <f>IF(T_MEDIDAS[[#This Row],[Transporte]],"Si","No")</f>
        <v>No</v>
      </c>
      <c r="AS99" s="125"/>
      <c r="AT99" s="1" t="str">
        <f>IF(T_MEDIDAS[[#This Row],[Coordinación]],"Si","No")</f>
        <v>No</v>
      </c>
      <c r="AU99" s="2">
        <v>1</v>
      </c>
      <c r="AV99" s="1">
        <v>1</v>
      </c>
      <c r="AW99" s="1">
        <v>1</v>
      </c>
      <c r="AX99" s="1">
        <v>1</v>
      </c>
      <c r="AY99" s="3">
        <v>1</v>
      </c>
      <c r="AZ99" s="43">
        <f>SUMPRODUCT($AT$15:$AX$15,T_MEDIDAS[[#This Row],[&lt;5.000]:[&gt;100.000]])</f>
        <v>1</v>
      </c>
      <c r="BA99" s="1">
        <v>1</v>
      </c>
      <c r="BB99" s="1"/>
      <c r="BC99" s="1">
        <v>1</v>
      </c>
      <c r="BD99" s="1">
        <v>1</v>
      </c>
      <c r="BE99" s="1">
        <v>1</v>
      </c>
      <c r="BF99" s="1">
        <v>1</v>
      </c>
      <c r="BG99" s="1">
        <v>1</v>
      </c>
      <c r="BH99" s="43" cm="1">
        <f t="array" ref="BH99">SUMPRODUCT(--((T_MEDIDAS[[#This Row],[Centros de salud o asistencia social]:[Escuelas / Centros de educación]] + $AZ$15:$BF$15)&gt;0))</f>
        <v>6</v>
      </c>
      <c r="BI99" s="1">
        <v>2</v>
      </c>
      <c r="BJ99" s="1">
        <v>0</v>
      </c>
      <c r="BK99" s="1">
        <v>2</v>
      </c>
      <c r="BL99" s="1">
        <v>2</v>
      </c>
      <c r="BM99" s="1">
        <v>2</v>
      </c>
      <c r="BN99" s="1">
        <v>2</v>
      </c>
      <c r="BO99" s="1">
        <v>2</v>
      </c>
      <c r="BP99" s="1">
        <v>3</v>
      </c>
      <c r="BQ99" s="47" cm="1">
        <f t="array" ref="BQ99">T_MEDIDAS[[#This Row],[Aplicación tamaño]]*(SUMPRODUCT(T_MEDIDAS[[#This Row],[C1_Refrigeración]:[C8_Tiempo]],TRANSPOSE('2.PONDERACIÓN'!$L$13:$L$20))+(ROW(C99)-ROW($C$18)+1)*0.0000000001)*100</f>
        <v>187.50000082</v>
      </c>
      <c r="BR99" s="84"/>
      <c r="BS99" s="90"/>
    </row>
    <row r="100" spans="1:71" ht="34.5" hidden="1">
      <c r="A100" s="84"/>
      <c r="B100" s="90"/>
      <c r="C100" s="84"/>
      <c r="D100" s="43">
        <f>IF(T_MEDIDAS[[#This Row],[Peso Criterios]]&lt;=0,"",_xlfn.RANK.EQ(T_MEDIDAS[[#This Row],[Peso Criterios]],T_MEDIDAS[Peso Criterios]))</f>
        <v>28</v>
      </c>
      <c r="E100" s="116" t="s">
        <v>321</v>
      </c>
      <c r="F100" s="117" t="s">
        <v>72</v>
      </c>
      <c r="G100" s="117" t="s">
        <v>50</v>
      </c>
      <c r="H100" s="117" t="s">
        <v>160</v>
      </c>
      <c r="I100" s="117" t="s">
        <v>322</v>
      </c>
      <c r="J100" s="117"/>
      <c r="K100" s="120">
        <v>1</v>
      </c>
      <c r="L100" s="19"/>
      <c r="M100" s="19"/>
      <c r="N100" s="121" t="str">
        <f t="shared" si="4"/>
        <v>€</v>
      </c>
      <c r="O100" s="122"/>
      <c r="P100" s="122"/>
      <c r="Q100" s="20">
        <v>1</v>
      </c>
      <c r="R100" s="122">
        <v>1</v>
      </c>
      <c r="S100" s="34" t="str">
        <f>IF(T_MEDIDAS[[#This Row],[No risk (0)]]=1,"■","")</f>
        <v/>
      </c>
      <c r="T100" s="35" t="str">
        <f>IF(T_MEDIDAS[[#This Row],[Low risk (1)]]=1,"■","")</f>
        <v/>
      </c>
      <c r="U100" s="36" t="str">
        <f>IF(T_MEDIDAS[[#This Row],[Medidaium risk (2)]]=1,"■","")</f>
        <v>■</v>
      </c>
      <c r="V100" s="81" t="str">
        <f>IF(T_MEDIDAS[[#This Row],[High risk (3)]]=1,"■","")</f>
        <v>■</v>
      </c>
      <c r="W100" s="19" t="str">
        <f t="shared" si="5"/>
        <v>4. Alto (Rojo)</v>
      </c>
      <c r="X100" s="19">
        <f>COUNT(T_MEDIDAS[[#This Row],[Edificios públicos]:[Coordinación]])</f>
        <v>1</v>
      </c>
      <c r="Y100" s="19"/>
      <c r="Z100" s="19" t="str">
        <f>IF(T_MEDIDAS[[#This Row],[Edificios públicos]]=1,"Si","No")</f>
        <v>No</v>
      </c>
      <c r="AA100" s="19"/>
      <c r="AB100" s="19" t="str">
        <f>IF(T_MEDIDAS[[#This Row],[Planificación urbana]]=1,"Si","No")</f>
        <v>No</v>
      </c>
      <c r="AC100" s="19"/>
      <c r="AD100" s="19" t="str">
        <f>IF(T_MEDIDAS[[#This Row],[Cultura y deportes]],"Si","No")</f>
        <v>No</v>
      </c>
      <c r="AE100" s="19"/>
      <c r="AF100" s="19" t="str">
        <f>IF(T_MEDIDAS[[#This Row],[Turismo]],"Si","No")</f>
        <v>No</v>
      </c>
      <c r="AG100" s="19">
        <v>1</v>
      </c>
      <c r="AH100" s="19" t="str">
        <f>IF(T_MEDIDAS[[#This Row],[Riesgos laborales]],"Si","No")</f>
        <v>Si</v>
      </c>
      <c r="AI100" s="19"/>
      <c r="AJ100" s="19" t="str">
        <f>IF(T_MEDIDAS[[#This Row],[Educación]],"Si","No")</f>
        <v>No</v>
      </c>
      <c r="AK100" s="19"/>
      <c r="AL100" s="19" t="str">
        <f>IF(T_MEDIDAS[[#This Row],[Servicios sociales]],"Si","No")</f>
        <v>No</v>
      </c>
      <c r="AM100" s="19"/>
      <c r="AN100" s="19" t="str">
        <f>IF(T_MEDIDAS[[#This Row],[Servicios de emergencia y policía]],"Si","No")</f>
        <v>No</v>
      </c>
      <c r="AO100" s="19"/>
      <c r="AP100" s="19" t="str">
        <f>IF(T_MEDIDAS[[#This Row],[Parques y jardines]],"Si","No")</f>
        <v>No</v>
      </c>
      <c r="AQ100" s="19"/>
      <c r="AR100" s="19" t="str">
        <f>IF(T_MEDIDAS[[#This Row],[Transporte]],"Si","No")</f>
        <v>No</v>
      </c>
      <c r="AS100" s="125"/>
      <c r="AT100" s="1" t="str">
        <f>IF(T_MEDIDAS[[#This Row],[Coordinación]],"Si","No")</f>
        <v>No</v>
      </c>
      <c r="AU100" s="2">
        <v>1</v>
      </c>
      <c r="AV100" s="1">
        <v>1</v>
      </c>
      <c r="AW100" s="1">
        <v>1</v>
      </c>
      <c r="AX100" s="1">
        <v>1</v>
      </c>
      <c r="AY100" s="3">
        <v>1</v>
      </c>
      <c r="AZ100" s="43">
        <f>SUMPRODUCT($AT$15:$AX$15,T_MEDIDAS[[#This Row],[&lt;5.000]:[&gt;100.000]])</f>
        <v>1</v>
      </c>
      <c r="BA100" s="1">
        <v>1</v>
      </c>
      <c r="BB100" s="1">
        <v>1</v>
      </c>
      <c r="BC100" s="1">
        <v>1</v>
      </c>
      <c r="BD100" s="1">
        <v>1</v>
      </c>
      <c r="BE100" s="1">
        <v>1</v>
      </c>
      <c r="BF100" s="1">
        <v>1</v>
      </c>
      <c r="BG100" s="1">
        <v>1</v>
      </c>
      <c r="BH100" s="43" cm="1">
        <f t="array" ref="BH100">SUMPRODUCT(--((T_MEDIDAS[[#This Row],[Centros de salud o asistencia social]:[Escuelas / Centros de educación]] + $AZ$15:$BF$15)&gt;0))</f>
        <v>7</v>
      </c>
      <c r="BI100" s="44">
        <v>0</v>
      </c>
      <c r="BJ100" s="44">
        <v>0</v>
      </c>
      <c r="BK100" s="44">
        <v>3</v>
      </c>
      <c r="BL100" s="44">
        <v>2</v>
      </c>
      <c r="BM100" s="44">
        <v>3</v>
      </c>
      <c r="BN100" s="44">
        <v>2</v>
      </c>
      <c r="BO100" s="44">
        <v>3</v>
      </c>
      <c r="BP100" s="44">
        <v>3</v>
      </c>
      <c r="BQ100" s="47" cm="1">
        <f t="array" ref="BQ100">T_MEDIDAS[[#This Row],[Aplicación tamaño]]*(SUMPRODUCT(T_MEDIDAS[[#This Row],[C1_Refrigeración]:[C8_Tiempo]],TRANSPOSE('2.PONDERACIÓN'!$L$13:$L$20))+(ROW(C100)-ROW($C$18)+1)*0.0000000001)*100</f>
        <v>200.00000082999998</v>
      </c>
      <c r="BR100" s="84"/>
      <c r="BS100" s="90"/>
    </row>
    <row r="101" spans="1:71" ht="34.5" hidden="1">
      <c r="A101" s="84"/>
      <c r="B101" s="90"/>
      <c r="C101" s="84"/>
      <c r="D101" s="43">
        <f>IF(T_MEDIDAS[[#This Row],[Peso Criterios]]&lt;=0,"",_xlfn.RANK.EQ(T_MEDIDAS[[#This Row],[Peso Criterios]],T_MEDIDAS[Peso Criterios]))</f>
        <v>27</v>
      </c>
      <c r="E101" s="116" t="s">
        <v>323</v>
      </c>
      <c r="F101" s="117" t="s">
        <v>72</v>
      </c>
      <c r="G101" s="117" t="s">
        <v>50</v>
      </c>
      <c r="H101" s="117" t="s">
        <v>160</v>
      </c>
      <c r="I101" s="117" t="s">
        <v>324</v>
      </c>
      <c r="J101" s="117"/>
      <c r="K101" s="120">
        <v>1</v>
      </c>
      <c r="L101" s="19"/>
      <c r="M101" s="19"/>
      <c r="N101" s="121" t="str">
        <f t="shared" si="4"/>
        <v>€</v>
      </c>
      <c r="O101" s="122"/>
      <c r="P101" s="122">
        <v>1</v>
      </c>
      <c r="Q101" s="20">
        <v>1</v>
      </c>
      <c r="R101" s="122">
        <v>1</v>
      </c>
      <c r="S101" s="34" t="str">
        <f>IF(T_MEDIDAS[[#This Row],[No risk (0)]]=1,"■","")</f>
        <v/>
      </c>
      <c r="T101" s="35" t="str">
        <f>IF(T_MEDIDAS[[#This Row],[Low risk (1)]]=1,"■","")</f>
        <v>■</v>
      </c>
      <c r="U101" s="36" t="str">
        <f>IF(T_MEDIDAS[[#This Row],[Medidaium risk (2)]]=1,"■","")</f>
        <v>■</v>
      </c>
      <c r="V101" s="81" t="str">
        <f>IF(T_MEDIDAS[[#This Row],[High risk (3)]]=1,"■","")</f>
        <v>■</v>
      </c>
      <c r="W101" s="19" t="str">
        <f t="shared" si="5"/>
        <v>4. Alto (Rojo)</v>
      </c>
      <c r="X101" s="19">
        <f>COUNT(T_MEDIDAS[[#This Row],[Edificios públicos]:[Coordinación]])</f>
        <v>1</v>
      </c>
      <c r="Y101" s="19"/>
      <c r="Z101" s="19" t="str">
        <f>IF(T_MEDIDAS[[#This Row],[Edificios públicos]]=1,"Si","No")</f>
        <v>No</v>
      </c>
      <c r="AA101" s="19"/>
      <c r="AB101" s="19" t="str">
        <f>IF(T_MEDIDAS[[#This Row],[Planificación urbana]]=1,"Si","No")</f>
        <v>No</v>
      </c>
      <c r="AC101" s="19"/>
      <c r="AD101" s="19" t="str">
        <f>IF(T_MEDIDAS[[#This Row],[Cultura y deportes]],"Si","No")</f>
        <v>No</v>
      </c>
      <c r="AE101" s="19"/>
      <c r="AF101" s="19" t="str">
        <f>IF(T_MEDIDAS[[#This Row],[Turismo]],"Si","No")</f>
        <v>No</v>
      </c>
      <c r="AG101" s="19">
        <v>1</v>
      </c>
      <c r="AH101" s="19" t="str">
        <f>IF(T_MEDIDAS[[#This Row],[Riesgos laborales]],"Si","No")</f>
        <v>Si</v>
      </c>
      <c r="AI101" s="19"/>
      <c r="AJ101" s="19" t="str">
        <f>IF(T_MEDIDAS[[#This Row],[Educación]],"Si","No")</f>
        <v>No</v>
      </c>
      <c r="AK101" s="19"/>
      <c r="AL101" s="19" t="str">
        <f>IF(T_MEDIDAS[[#This Row],[Servicios sociales]],"Si","No")</f>
        <v>No</v>
      </c>
      <c r="AM101" s="19"/>
      <c r="AN101" s="19" t="str">
        <f>IF(T_MEDIDAS[[#This Row],[Servicios de emergencia y policía]],"Si","No")</f>
        <v>No</v>
      </c>
      <c r="AO101" s="19"/>
      <c r="AP101" s="19" t="str">
        <f>IF(T_MEDIDAS[[#This Row],[Parques y jardines]],"Si","No")</f>
        <v>No</v>
      </c>
      <c r="AQ101" s="19"/>
      <c r="AR101" s="19" t="str">
        <f>IF(T_MEDIDAS[[#This Row],[Transporte]],"Si","No")</f>
        <v>No</v>
      </c>
      <c r="AS101" s="125"/>
      <c r="AT101" s="1" t="str">
        <f>IF(T_MEDIDAS[[#This Row],[Coordinación]],"Si","No")</f>
        <v>No</v>
      </c>
      <c r="AU101" s="2">
        <v>1</v>
      </c>
      <c r="AV101" s="1">
        <v>1</v>
      </c>
      <c r="AW101" s="1">
        <v>1</v>
      </c>
      <c r="AX101" s="1">
        <v>1</v>
      </c>
      <c r="AY101" s="3">
        <v>1</v>
      </c>
      <c r="AZ101" s="43">
        <f>SUMPRODUCT($AT$15:$AX$15,T_MEDIDAS[[#This Row],[&lt;5.000]:[&gt;100.000]])</f>
        <v>1</v>
      </c>
      <c r="BA101" s="1">
        <v>1</v>
      </c>
      <c r="BB101" s="1">
        <v>1</v>
      </c>
      <c r="BC101" s="1">
        <v>1</v>
      </c>
      <c r="BD101" s="1">
        <v>1</v>
      </c>
      <c r="BE101" s="1">
        <v>1</v>
      </c>
      <c r="BF101" s="1">
        <v>1</v>
      </c>
      <c r="BG101" s="1">
        <v>1</v>
      </c>
      <c r="BH101" s="43" cm="1">
        <f t="array" ref="BH101">SUMPRODUCT(--((T_MEDIDAS[[#This Row],[Centros de salud o asistencia social]:[Escuelas / Centros de educación]] + $AZ$15:$BF$15)&gt;0))</f>
        <v>7</v>
      </c>
      <c r="BI101" s="1">
        <v>0</v>
      </c>
      <c r="BJ101" s="1">
        <v>0</v>
      </c>
      <c r="BK101" s="1">
        <v>3</v>
      </c>
      <c r="BL101" s="1">
        <v>2</v>
      </c>
      <c r="BM101" s="1">
        <v>3</v>
      </c>
      <c r="BN101" s="1">
        <v>2</v>
      </c>
      <c r="BO101" s="1">
        <v>3</v>
      </c>
      <c r="BP101" s="1">
        <v>3</v>
      </c>
      <c r="BQ101" s="47" cm="1">
        <f t="array" ref="BQ101">T_MEDIDAS[[#This Row],[Aplicación tamaño]]*(SUMPRODUCT(T_MEDIDAS[[#This Row],[C1_Refrigeración]:[C8_Tiempo]],TRANSPOSE('2.PONDERACIÓN'!$L$13:$L$20))+(ROW(C101)-ROW($C$18)+1)*0.0000000001)*100</f>
        <v>200.00000083999998</v>
      </c>
      <c r="BR101" s="84"/>
      <c r="BS101" s="90"/>
    </row>
    <row r="102" spans="1:71" ht="34.5" hidden="1">
      <c r="A102" s="84"/>
      <c r="B102" s="90"/>
      <c r="C102" s="84"/>
      <c r="D102" s="43">
        <f>IF(T_MEDIDAS[[#This Row],[Peso Criterios]]&lt;=0,"",_xlfn.RANK.EQ(T_MEDIDAS[[#This Row],[Peso Criterios]],T_MEDIDAS[Peso Criterios]))</f>
        <v>66</v>
      </c>
      <c r="E102" s="116" t="s">
        <v>325</v>
      </c>
      <c r="F102" s="117" t="s">
        <v>72</v>
      </c>
      <c r="G102" s="117" t="s">
        <v>50</v>
      </c>
      <c r="H102" s="117" t="s">
        <v>160</v>
      </c>
      <c r="I102" s="117" t="s">
        <v>326</v>
      </c>
      <c r="J102" s="117"/>
      <c r="K102" s="120">
        <v>1</v>
      </c>
      <c r="L102" s="19"/>
      <c r="M102" s="19"/>
      <c r="N102" s="121" t="str">
        <f t="shared" si="4"/>
        <v>€</v>
      </c>
      <c r="O102" s="122"/>
      <c r="P102" s="122"/>
      <c r="Q102" s="20">
        <v>1</v>
      </c>
      <c r="R102" s="122">
        <v>1</v>
      </c>
      <c r="S102" s="34" t="str">
        <f>IF(T_MEDIDAS[[#This Row],[No risk (0)]]=1,"■","")</f>
        <v/>
      </c>
      <c r="T102" s="35" t="str">
        <f>IF(T_MEDIDAS[[#This Row],[Low risk (1)]]=1,"■","")</f>
        <v/>
      </c>
      <c r="U102" s="36" t="str">
        <f>IF(T_MEDIDAS[[#This Row],[Medidaium risk (2)]]=1,"■","")</f>
        <v>■</v>
      </c>
      <c r="V102" s="81" t="str">
        <f>IF(T_MEDIDAS[[#This Row],[High risk (3)]]=1,"■","")</f>
        <v>■</v>
      </c>
      <c r="W102" s="19" t="str">
        <f t="shared" si="5"/>
        <v>4. Alto (Rojo)</v>
      </c>
      <c r="X102" s="19">
        <f>COUNT(T_MEDIDAS[[#This Row],[Edificios públicos]:[Coordinación]])</f>
        <v>2</v>
      </c>
      <c r="Y102" s="19">
        <v>1</v>
      </c>
      <c r="Z102" s="19" t="str">
        <f>IF(T_MEDIDAS[[#This Row],[Edificios públicos]]=1,"Si","No")</f>
        <v>Si</v>
      </c>
      <c r="AA102" s="19"/>
      <c r="AB102" s="19" t="str">
        <f>IF(T_MEDIDAS[[#This Row],[Planificación urbana]]=1,"Si","No")</f>
        <v>No</v>
      </c>
      <c r="AC102" s="19"/>
      <c r="AD102" s="19" t="str">
        <f>IF(T_MEDIDAS[[#This Row],[Cultura y deportes]],"Si","No")</f>
        <v>No</v>
      </c>
      <c r="AE102" s="19"/>
      <c r="AF102" s="19" t="str">
        <f>IF(T_MEDIDAS[[#This Row],[Turismo]],"Si","No")</f>
        <v>No</v>
      </c>
      <c r="AG102" s="19"/>
      <c r="AH102" s="19" t="str">
        <f>IF(T_MEDIDAS[[#This Row],[Riesgos laborales]],"Si","No")</f>
        <v>No</v>
      </c>
      <c r="AI102" s="19"/>
      <c r="AJ102" s="19" t="str">
        <f>IF(T_MEDIDAS[[#This Row],[Educación]],"Si","No")</f>
        <v>No</v>
      </c>
      <c r="AK102" s="19">
        <v>1</v>
      </c>
      <c r="AL102" s="19" t="str">
        <f>IF(T_MEDIDAS[[#This Row],[Servicios sociales]],"Si","No")</f>
        <v>Si</v>
      </c>
      <c r="AM102" s="19"/>
      <c r="AN102" s="19" t="str">
        <f>IF(T_MEDIDAS[[#This Row],[Servicios de emergencia y policía]],"Si","No")</f>
        <v>No</v>
      </c>
      <c r="AO102" s="19"/>
      <c r="AP102" s="19" t="str">
        <f>IF(T_MEDIDAS[[#This Row],[Parques y jardines]],"Si","No")</f>
        <v>No</v>
      </c>
      <c r="AQ102" s="19"/>
      <c r="AR102" s="19" t="str">
        <f>IF(T_MEDIDAS[[#This Row],[Transporte]],"Si","No")</f>
        <v>No</v>
      </c>
      <c r="AS102" s="125"/>
      <c r="AT102" s="1" t="str">
        <f>IF(T_MEDIDAS[[#This Row],[Coordinación]],"Si","No")</f>
        <v>No</v>
      </c>
      <c r="AU102" s="2">
        <v>1</v>
      </c>
      <c r="AV102" s="1">
        <v>1</v>
      </c>
      <c r="AW102" s="1">
        <v>1</v>
      </c>
      <c r="AX102" s="1">
        <v>1</v>
      </c>
      <c r="AY102" s="3">
        <v>1</v>
      </c>
      <c r="AZ102" s="43">
        <f>SUMPRODUCT($AT$15:$AX$15,T_MEDIDAS[[#This Row],[&lt;5.000]:[&gt;100.000]])</f>
        <v>1</v>
      </c>
      <c r="BA102" s="1">
        <v>1</v>
      </c>
      <c r="BB102" s="1">
        <v>1</v>
      </c>
      <c r="BC102" s="1">
        <v>1</v>
      </c>
      <c r="BD102" s="1">
        <v>1</v>
      </c>
      <c r="BE102" s="1">
        <v>1</v>
      </c>
      <c r="BF102" s="1">
        <v>1</v>
      </c>
      <c r="BG102" s="1">
        <v>1</v>
      </c>
      <c r="BH102" s="43" cm="1">
        <f t="array" ref="BH102">SUMPRODUCT(--((T_MEDIDAS[[#This Row],[Centros de salud o asistencia social]:[Escuelas / Centros de educación]] + $AZ$15:$BF$15)&gt;0))</f>
        <v>7</v>
      </c>
      <c r="BI102" s="44">
        <v>0</v>
      </c>
      <c r="BJ102" s="44">
        <v>0</v>
      </c>
      <c r="BK102" s="44">
        <v>3</v>
      </c>
      <c r="BL102" s="44">
        <v>1</v>
      </c>
      <c r="BM102" s="44">
        <v>3</v>
      </c>
      <c r="BN102" s="44">
        <v>2</v>
      </c>
      <c r="BO102" s="44">
        <v>3</v>
      </c>
      <c r="BP102" s="44">
        <v>3</v>
      </c>
      <c r="BQ102" s="47" cm="1">
        <f t="array" ref="BQ102">T_MEDIDAS[[#This Row],[Aplicación tamaño]]*(SUMPRODUCT(T_MEDIDAS[[#This Row],[C1_Refrigeración]:[C8_Tiempo]],TRANSPOSE('2.PONDERACIÓN'!$L$13:$L$20))+(ROW(C102)-ROW($C$18)+1)*0.0000000001)*100</f>
        <v>187.50000084999999</v>
      </c>
      <c r="BR102" s="84"/>
      <c r="BS102" s="90"/>
    </row>
    <row r="103" spans="1:71" ht="43.5" hidden="1">
      <c r="A103" s="84"/>
      <c r="B103" s="90"/>
      <c r="C103" s="84"/>
      <c r="D103" s="43">
        <f>IF(T_MEDIDAS[[#This Row],[Peso Criterios]]&lt;=0,"",_xlfn.RANK.EQ(T_MEDIDAS[[#This Row],[Peso Criterios]],T_MEDIDAS[Peso Criterios]))</f>
        <v>7</v>
      </c>
      <c r="E103" s="116" t="s">
        <v>327</v>
      </c>
      <c r="F103" s="117" t="s">
        <v>72</v>
      </c>
      <c r="G103" s="117" t="s">
        <v>56</v>
      </c>
      <c r="H103" s="117" t="s">
        <v>273</v>
      </c>
      <c r="I103" s="117" t="s">
        <v>328</v>
      </c>
      <c r="J103" s="117"/>
      <c r="K103" s="120">
        <v>1</v>
      </c>
      <c r="L103" s="19"/>
      <c r="M103" s="19"/>
      <c r="N103" s="121" t="str">
        <f t="shared" si="4"/>
        <v>€</v>
      </c>
      <c r="O103" s="122"/>
      <c r="P103" s="122"/>
      <c r="Q103" s="20">
        <v>1</v>
      </c>
      <c r="R103" s="122">
        <v>1</v>
      </c>
      <c r="S103" s="34" t="str">
        <f>IF(T_MEDIDAS[[#This Row],[No risk (0)]]=1,"■","")</f>
        <v/>
      </c>
      <c r="T103" s="35" t="str">
        <f>IF(T_MEDIDAS[[#This Row],[Low risk (1)]]=1,"■","")</f>
        <v/>
      </c>
      <c r="U103" s="36" t="str">
        <f>IF(T_MEDIDAS[[#This Row],[Medidaium risk (2)]]=1,"■","")</f>
        <v>■</v>
      </c>
      <c r="V103" s="81" t="str">
        <f>IF(T_MEDIDAS[[#This Row],[High risk (3)]]=1,"■","")</f>
        <v>■</v>
      </c>
      <c r="W103" s="19" t="str">
        <f t="shared" si="5"/>
        <v>4. Alto (Rojo)</v>
      </c>
      <c r="X103" s="19">
        <f>COUNT(T_MEDIDAS[[#This Row],[Edificios públicos]:[Coordinación]])</f>
        <v>3</v>
      </c>
      <c r="Y103" s="19"/>
      <c r="Z103" s="19" t="str">
        <f>IF(T_MEDIDAS[[#This Row],[Edificios públicos]]=1,"Si","No")</f>
        <v>No</v>
      </c>
      <c r="AA103" s="19"/>
      <c r="AB103" s="19" t="str">
        <f>IF(T_MEDIDAS[[#This Row],[Planificación urbana]]=1,"Si","No")</f>
        <v>No</v>
      </c>
      <c r="AC103" s="19"/>
      <c r="AD103" s="19" t="str">
        <f>IF(T_MEDIDAS[[#This Row],[Cultura y deportes]],"Si","No")</f>
        <v>No</v>
      </c>
      <c r="AE103" s="19"/>
      <c r="AF103" s="19" t="str">
        <f>IF(T_MEDIDAS[[#This Row],[Turismo]],"Si","No")</f>
        <v>No</v>
      </c>
      <c r="AG103" s="19"/>
      <c r="AH103" s="19" t="str">
        <f>IF(T_MEDIDAS[[#This Row],[Riesgos laborales]],"Si","No")</f>
        <v>No</v>
      </c>
      <c r="AI103" s="19"/>
      <c r="AJ103" s="19" t="str">
        <f>IF(T_MEDIDAS[[#This Row],[Educación]],"Si","No")</f>
        <v>No</v>
      </c>
      <c r="AK103" s="19">
        <v>1</v>
      </c>
      <c r="AL103" s="19" t="str">
        <f>IF(T_MEDIDAS[[#This Row],[Servicios sociales]],"Si","No")</f>
        <v>Si</v>
      </c>
      <c r="AM103" s="19">
        <v>1</v>
      </c>
      <c r="AN103" s="19" t="str">
        <f>IF(T_MEDIDAS[[#This Row],[Servicios de emergencia y policía]],"Si","No")</f>
        <v>Si</v>
      </c>
      <c r="AO103" s="19"/>
      <c r="AP103" s="19" t="str">
        <f>IF(T_MEDIDAS[[#This Row],[Parques y jardines]],"Si","No")</f>
        <v>No</v>
      </c>
      <c r="AQ103" s="19"/>
      <c r="AR103" s="19" t="str">
        <f>IF(T_MEDIDAS[[#This Row],[Transporte]],"Si","No")</f>
        <v>No</v>
      </c>
      <c r="AS103" s="125">
        <v>1</v>
      </c>
      <c r="AT103" s="1" t="str">
        <f>IF(T_MEDIDAS[[#This Row],[Coordinación]],"Si","No")</f>
        <v>Si</v>
      </c>
      <c r="AU103" s="2">
        <v>1</v>
      </c>
      <c r="AV103" s="1">
        <v>1</v>
      </c>
      <c r="AW103" s="1">
        <v>1</v>
      </c>
      <c r="AX103" s="1">
        <v>1</v>
      </c>
      <c r="AY103" s="3">
        <v>1</v>
      </c>
      <c r="AZ103" s="43">
        <f>SUMPRODUCT($AT$15:$AX$15,T_MEDIDAS[[#This Row],[&lt;5.000]:[&gt;100.000]])</f>
        <v>1</v>
      </c>
      <c r="BA103" s="1">
        <v>1</v>
      </c>
      <c r="BB103" s="1">
        <v>1</v>
      </c>
      <c r="BC103" s="1">
        <v>1</v>
      </c>
      <c r="BD103" s="1">
        <v>1</v>
      </c>
      <c r="BE103" s="1">
        <v>1</v>
      </c>
      <c r="BF103" s="1">
        <v>1</v>
      </c>
      <c r="BG103" s="1">
        <v>1</v>
      </c>
      <c r="BH103" s="43" cm="1">
        <f t="array" ref="BH103">SUMPRODUCT(--((T_MEDIDAS[[#This Row],[Centros de salud o asistencia social]:[Escuelas / Centros de educación]] + $AZ$15:$BF$15)&gt;0))</f>
        <v>7</v>
      </c>
      <c r="BI103" s="1">
        <v>0</v>
      </c>
      <c r="BJ103" s="1">
        <v>0</v>
      </c>
      <c r="BK103" s="1">
        <v>3</v>
      </c>
      <c r="BL103" s="1">
        <v>3</v>
      </c>
      <c r="BM103" s="1">
        <v>3</v>
      </c>
      <c r="BN103" s="1">
        <v>2</v>
      </c>
      <c r="BO103" s="1">
        <v>3</v>
      </c>
      <c r="BP103" s="1">
        <v>3</v>
      </c>
      <c r="BQ103" s="47" cm="1">
        <f t="array" ref="BQ103">T_MEDIDAS[[#This Row],[Aplicación tamaño]]*(SUMPRODUCT(T_MEDIDAS[[#This Row],[C1_Refrigeración]:[C8_Tiempo]],TRANSPOSE('2.PONDERACIÓN'!$L$13:$L$20))+(ROW(C103)-ROW($C$18)+1)*0.0000000001)*100</f>
        <v>212.50000085999997</v>
      </c>
      <c r="BR103" s="84"/>
      <c r="BS103" s="90"/>
    </row>
    <row r="104" spans="1:71" ht="34.5" hidden="1">
      <c r="A104" s="84"/>
      <c r="B104" s="90"/>
      <c r="C104" s="84"/>
      <c r="D104" s="43">
        <f>IF(T_MEDIDAS[[#This Row],[Peso Criterios]]&lt;=0,"",_xlfn.RANK.EQ(T_MEDIDAS[[#This Row],[Peso Criterios]],T_MEDIDAS[Peso Criterios]))</f>
        <v>26</v>
      </c>
      <c r="E104" s="116" t="s">
        <v>329</v>
      </c>
      <c r="F104" s="117" t="s">
        <v>72</v>
      </c>
      <c r="G104" s="126" t="s">
        <v>50</v>
      </c>
      <c r="H104" s="126" t="s">
        <v>160</v>
      </c>
      <c r="I104" s="126" t="s">
        <v>330</v>
      </c>
      <c r="J104" s="126"/>
      <c r="K104" s="120">
        <v>1</v>
      </c>
      <c r="L104" s="19"/>
      <c r="M104" s="19"/>
      <c r="N104" s="121" t="str">
        <f t="shared" si="4"/>
        <v>€</v>
      </c>
      <c r="O104" s="122"/>
      <c r="P104" s="122"/>
      <c r="Q104" s="20">
        <v>1</v>
      </c>
      <c r="R104" s="122">
        <v>1</v>
      </c>
      <c r="S104" s="34" t="str">
        <f>IF(T_MEDIDAS[[#This Row],[No risk (0)]]=1,"■","")</f>
        <v/>
      </c>
      <c r="T104" s="35" t="str">
        <f>IF(T_MEDIDAS[[#This Row],[Low risk (1)]]=1,"■","")</f>
        <v/>
      </c>
      <c r="U104" s="36" t="str">
        <f>IF(T_MEDIDAS[[#This Row],[Medidaium risk (2)]]=1,"■","")</f>
        <v>■</v>
      </c>
      <c r="V104" s="81" t="str">
        <f>IF(T_MEDIDAS[[#This Row],[High risk (3)]]=1,"■","")</f>
        <v>■</v>
      </c>
      <c r="W104" s="19" t="str">
        <f t="shared" si="5"/>
        <v>4. Alto (Rojo)</v>
      </c>
      <c r="X104" s="19">
        <f>COUNT(T_MEDIDAS[[#This Row],[Edificios públicos]:[Coordinación]])</f>
        <v>1</v>
      </c>
      <c r="Y104" s="19"/>
      <c r="Z104" s="19" t="str">
        <f>IF(T_MEDIDAS[[#This Row],[Edificios públicos]]=1,"Si","No")</f>
        <v>No</v>
      </c>
      <c r="AA104" s="19"/>
      <c r="AB104" s="19" t="str">
        <f>IF(T_MEDIDAS[[#This Row],[Planificación urbana]]=1,"Si","No")</f>
        <v>No</v>
      </c>
      <c r="AC104" s="19"/>
      <c r="AD104" s="19" t="str">
        <f>IF(T_MEDIDAS[[#This Row],[Cultura y deportes]],"Si","No")</f>
        <v>No</v>
      </c>
      <c r="AE104" s="19"/>
      <c r="AF104" s="19" t="str">
        <f>IF(T_MEDIDAS[[#This Row],[Turismo]],"Si","No")</f>
        <v>No</v>
      </c>
      <c r="AG104" s="19"/>
      <c r="AH104" s="19" t="str">
        <f>IF(T_MEDIDAS[[#This Row],[Riesgos laborales]],"Si","No")</f>
        <v>No</v>
      </c>
      <c r="AI104" s="19">
        <v>1</v>
      </c>
      <c r="AJ104" s="19" t="str">
        <f>IF(T_MEDIDAS[[#This Row],[Educación]],"Si","No")</f>
        <v>Si</v>
      </c>
      <c r="AK104" s="19"/>
      <c r="AL104" s="19" t="str">
        <f>IF(T_MEDIDAS[[#This Row],[Servicios sociales]],"Si","No")</f>
        <v>No</v>
      </c>
      <c r="AM104" s="19"/>
      <c r="AN104" s="19" t="str">
        <f>IF(T_MEDIDAS[[#This Row],[Servicios de emergencia y policía]],"Si","No")</f>
        <v>No</v>
      </c>
      <c r="AO104" s="19"/>
      <c r="AP104" s="19" t="str">
        <f>IF(T_MEDIDAS[[#This Row],[Parques y jardines]],"Si","No")</f>
        <v>No</v>
      </c>
      <c r="AQ104" s="19"/>
      <c r="AR104" s="19" t="str">
        <f>IF(T_MEDIDAS[[#This Row],[Transporte]],"Si","No")</f>
        <v>No</v>
      </c>
      <c r="AS104" s="125"/>
      <c r="AT104" s="1" t="str">
        <f>IF(T_MEDIDAS[[#This Row],[Coordinación]],"Si","No")</f>
        <v>No</v>
      </c>
      <c r="AU104" s="2">
        <v>1</v>
      </c>
      <c r="AV104" s="1">
        <v>1</v>
      </c>
      <c r="AW104" s="1">
        <v>1</v>
      </c>
      <c r="AX104" s="1">
        <v>1</v>
      </c>
      <c r="AY104" s="3">
        <v>1</v>
      </c>
      <c r="AZ104" s="43">
        <f>SUMPRODUCT($AT$15:$AX$15,T_MEDIDAS[[#This Row],[&lt;5.000]:[&gt;100.000]])</f>
        <v>1</v>
      </c>
      <c r="BA104" s="1">
        <v>1</v>
      </c>
      <c r="BB104" s="1">
        <v>1</v>
      </c>
      <c r="BC104" s="1">
        <v>1</v>
      </c>
      <c r="BD104" s="1">
        <v>1</v>
      </c>
      <c r="BE104" s="1">
        <v>1</v>
      </c>
      <c r="BF104" s="1">
        <v>1</v>
      </c>
      <c r="BG104" s="1">
        <v>1</v>
      </c>
      <c r="BH104" s="43" cm="1">
        <f t="array" ref="BH104">SUMPRODUCT(--((T_MEDIDAS[[#This Row],[Centros de salud o asistencia social]:[Escuelas / Centros de educación]] + $AZ$15:$BF$15)&gt;0))</f>
        <v>7</v>
      </c>
      <c r="BI104" s="44">
        <v>0</v>
      </c>
      <c r="BJ104" s="44">
        <v>0</v>
      </c>
      <c r="BK104" s="44">
        <v>3</v>
      </c>
      <c r="BL104" s="44">
        <v>2</v>
      </c>
      <c r="BM104" s="44">
        <v>3</v>
      </c>
      <c r="BN104" s="44">
        <v>2</v>
      </c>
      <c r="BO104" s="44">
        <v>3</v>
      </c>
      <c r="BP104" s="44">
        <v>3</v>
      </c>
      <c r="BQ104" s="47" cm="1">
        <f t="array" ref="BQ104">T_MEDIDAS[[#This Row],[Aplicación tamaño]]*(SUMPRODUCT(T_MEDIDAS[[#This Row],[C1_Refrigeración]:[C8_Tiempo]],TRANSPOSE('2.PONDERACIÓN'!$L$13:$L$20))+(ROW(C104)-ROW($C$18)+1)*0.0000000001)*100</f>
        <v>200.00000086999998</v>
      </c>
      <c r="BR104" s="84"/>
      <c r="BS104" s="90"/>
    </row>
    <row r="105" spans="1:71" ht="34.5" hidden="1">
      <c r="A105" s="84"/>
      <c r="B105" s="90"/>
      <c r="C105" s="84"/>
      <c r="D105" s="43">
        <f>IF(T_MEDIDAS[[#This Row],[Peso Criterios]]&lt;=0,"",_xlfn.RANK.EQ(T_MEDIDAS[[#This Row],[Peso Criterios]],T_MEDIDAS[Peso Criterios]))</f>
        <v>25</v>
      </c>
      <c r="E105" s="116" t="s">
        <v>331</v>
      </c>
      <c r="F105" s="117" t="s">
        <v>72</v>
      </c>
      <c r="G105" s="126" t="s">
        <v>50</v>
      </c>
      <c r="H105" s="126" t="s">
        <v>160</v>
      </c>
      <c r="I105" s="126" t="s">
        <v>332</v>
      </c>
      <c r="J105" s="126"/>
      <c r="K105" s="120">
        <v>1</v>
      </c>
      <c r="L105" s="19"/>
      <c r="M105" s="19"/>
      <c r="N105" s="121" t="str">
        <f t="shared" si="4"/>
        <v>€</v>
      </c>
      <c r="O105" s="122"/>
      <c r="P105" s="122"/>
      <c r="Q105" s="20">
        <v>1</v>
      </c>
      <c r="R105" s="122">
        <v>1</v>
      </c>
      <c r="S105" s="34" t="str">
        <f>IF(T_MEDIDAS[[#This Row],[No risk (0)]]=1,"■","")</f>
        <v/>
      </c>
      <c r="T105" s="35" t="str">
        <f>IF(T_MEDIDAS[[#This Row],[Low risk (1)]]=1,"■","")</f>
        <v/>
      </c>
      <c r="U105" s="36" t="str">
        <f>IF(T_MEDIDAS[[#This Row],[Medidaium risk (2)]]=1,"■","")</f>
        <v>■</v>
      </c>
      <c r="V105" s="81" t="str">
        <f>IF(T_MEDIDAS[[#This Row],[High risk (3)]]=1,"■","")</f>
        <v>■</v>
      </c>
      <c r="W105" s="19" t="str">
        <f t="shared" si="5"/>
        <v>4. Alto (Rojo)</v>
      </c>
      <c r="X105" s="19">
        <f>COUNT(T_MEDIDAS[[#This Row],[Edificios públicos]:[Coordinación]])</f>
        <v>1</v>
      </c>
      <c r="Y105" s="19"/>
      <c r="Z105" s="19" t="str">
        <f>IF(T_MEDIDAS[[#This Row],[Edificios públicos]]=1,"Si","No")</f>
        <v>No</v>
      </c>
      <c r="AA105" s="19"/>
      <c r="AB105" s="19" t="str">
        <f>IF(T_MEDIDAS[[#This Row],[Planificación urbana]]=1,"Si","No")</f>
        <v>No</v>
      </c>
      <c r="AC105" s="19"/>
      <c r="AD105" s="19" t="str">
        <f>IF(T_MEDIDAS[[#This Row],[Cultura y deportes]],"Si","No")</f>
        <v>No</v>
      </c>
      <c r="AE105" s="19"/>
      <c r="AF105" s="19" t="str">
        <f>IF(T_MEDIDAS[[#This Row],[Turismo]],"Si","No")</f>
        <v>No</v>
      </c>
      <c r="AG105" s="19"/>
      <c r="AH105" s="19" t="str">
        <f>IF(T_MEDIDAS[[#This Row],[Riesgos laborales]],"Si","No")</f>
        <v>No</v>
      </c>
      <c r="AI105" s="19">
        <v>1</v>
      </c>
      <c r="AJ105" s="19" t="str">
        <f>IF(T_MEDIDAS[[#This Row],[Educación]],"Si","No")</f>
        <v>Si</v>
      </c>
      <c r="AK105" s="19"/>
      <c r="AL105" s="19" t="str">
        <f>IF(T_MEDIDAS[[#This Row],[Servicios sociales]],"Si","No")</f>
        <v>No</v>
      </c>
      <c r="AM105" s="19"/>
      <c r="AN105" s="19" t="str">
        <f>IF(T_MEDIDAS[[#This Row],[Servicios de emergencia y policía]],"Si","No")</f>
        <v>No</v>
      </c>
      <c r="AO105" s="19"/>
      <c r="AP105" s="19" t="str">
        <f>IF(T_MEDIDAS[[#This Row],[Parques y jardines]],"Si","No")</f>
        <v>No</v>
      </c>
      <c r="AQ105" s="19"/>
      <c r="AR105" s="19" t="str">
        <f>IF(T_MEDIDAS[[#This Row],[Transporte]],"Si","No")</f>
        <v>No</v>
      </c>
      <c r="AS105" s="125"/>
      <c r="AT105" s="1" t="str">
        <f>IF(T_MEDIDAS[[#This Row],[Coordinación]],"Si","No")</f>
        <v>No</v>
      </c>
      <c r="AU105" s="2">
        <v>1</v>
      </c>
      <c r="AV105" s="1">
        <v>1</v>
      </c>
      <c r="AW105" s="1">
        <v>1</v>
      </c>
      <c r="AX105" s="1">
        <v>1</v>
      </c>
      <c r="AY105" s="3">
        <v>1</v>
      </c>
      <c r="AZ105" s="43">
        <f>SUMPRODUCT($AT$15:$AX$15,T_MEDIDAS[[#This Row],[&lt;5.000]:[&gt;100.000]])</f>
        <v>1</v>
      </c>
      <c r="BA105" s="1">
        <v>1</v>
      </c>
      <c r="BB105" s="1">
        <v>1</v>
      </c>
      <c r="BC105" s="1">
        <v>1</v>
      </c>
      <c r="BD105" s="1">
        <v>1</v>
      </c>
      <c r="BE105" s="1">
        <v>1</v>
      </c>
      <c r="BF105" s="1">
        <v>1</v>
      </c>
      <c r="BG105" s="1">
        <v>1</v>
      </c>
      <c r="BH105" s="43" cm="1">
        <f t="array" ref="BH105">SUMPRODUCT(--((T_MEDIDAS[[#This Row],[Centros de salud o asistencia social]:[Escuelas / Centros de educación]] + $AZ$15:$BF$15)&gt;0))</f>
        <v>7</v>
      </c>
      <c r="BI105" s="1">
        <v>0</v>
      </c>
      <c r="BJ105" s="1">
        <v>0</v>
      </c>
      <c r="BK105" s="1">
        <v>3</v>
      </c>
      <c r="BL105" s="1">
        <v>2</v>
      </c>
      <c r="BM105" s="1">
        <v>3</v>
      </c>
      <c r="BN105" s="1">
        <v>2</v>
      </c>
      <c r="BO105" s="1">
        <v>3</v>
      </c>
      <c r="BP105" s="1">
        <v>3</v>
      </c>
      <c r="BQ105" s="47" cm="1">
        <f t="array" ref="BQ105">T_MEDIDAS[[#This Row],[Aplicación tamaño]]*(SUMPRODUCT(T_MEDIDAS[[#This Row],[C1_Refrigeración]:[C8_Tiempo]],TRANSPOSE('2.PONDERACIÓN'!$L$13:$L$20))+(ROW(C105)-ROW($C$18)+1)*0.0000000001)*100</f>
        <v>200.00000087999999</v>
      </c>
      <c r="BR105" s="84"/>
      <c r="BS105" s="90"/>
    </row>
    <row r="106" spans="1:71" ht="34.5" hidden="1">
      <c r="A106" s="84"/>
      <c r="B106" s="90"/>
      <c r="C106" s="84"/>
      <c r="D106" s="43">
        <f>IF(T_MEDIDAS[[#This Row],[Peso Criterios]]&lt;=0,"",_xlfn.RANK.EQ(T_MEDIDAS[[#This Row],[Peso Criterios]],T_MEDIDAS[Peso Criterios]))</f>
        <v>24</v>
      </c>
      <c r="E106" s="116" t="s">
        <v>333</v>
      </c>
      <c r="F106" s="117" t="s">
        <v>72</v>
      </c>
      <c r="G106" s="126" t="s">
        <v>50</v>
      </c>
      <c r="H106" s="126" t="s">
        <v>160</v>
      </c>
      <c r="I106" s="126" t="s">
        <v>334</v>
      </c>
      <c r="J106" s="126"/>
      <c r="K106" s="120">
        <v>1</v>
      </c>
      <c r="L106" s="19"/>
      <c r="M106" s="19"/>
      <c r="N106" s="121" t="str">
        <f t="shared" si="4"/>
        <v>€</v>
      </c>
      <c r="O106" s="122"/>
      <c r="P106" s="122"/>
      <c r="Q106" s="20">
        <v>1</v>
      </c>
      <c r="R106" s="122">
        <v>1</v>
      </c>
      <c r="S106" s="34" t="str">
        <f>IF(T_MEDIDAS[[#This Row],[No risk (0)]]=1,"■","")</f>
        <v/>
      </c>
      <c r="T106" s="35" t="str">
        <f>IF(T_MEDIDAS[[#This Row],[Low risk (1)]]=1,"■","")</f>
        <v/>
      </c>
      <c r="U106" s="36" t="str">
        <f>IF(T_MEDIDAS[[#This Row],[Medidaium risk (2)]]=1,"■","")</f>
        <v>■</v>
      </c>
      <c r="V106" s="81" t="str">
        <f>IF(T_MEDIDAS[[#This Row],[High risk (3)]]=1,"■","")</f>
        <v>■</v>
      </c>
      <c r="W106" s="19" t="str">
        <f t="shared" si="5"/>
        <v>4. Alto (Rojo)</v>
      </c>
      <c r="X106" s="19">
        <f>COUNT(T_MEDIDAS[[#This Row],[Edificios públicos]:[Coordinación]])</f>
        <v>1</v>
      </c>
      <c r="Y106" s="19"/>
      <c r="Z106" s="19" t="str">
        <f>IF(T_MEDIDAS[[#This Row],[Edificios públicos]]=1,"Si","No")</f>
        <v>No</v>
      </c>
      <c r="AA106" s="19"/>
      <c r="AB106" s="19" t="str">
        <f>IF(T_MEDIDAS[[#This Row],[Planificación urbana]]=1,"Si","No")</f>
        <v>No</v>
      </c>
      <c r="AC106" s="19"/>
      <c r="AD106" s="19" t="str">
        <f>IF(T_MEDIDAS[[#This Row],[Cultura y deportes]],"Si","No")</f>
        <v>No</v>
      </c>
      <c r="AE106" s="19"/>
      <c r="AF106" s="19" t="str">
        <f>IF(T_MEDIDAS[[#This Row],[Turismo]],"Si","No")</f>
        <v>No</v>
      </c>
      <c r="AG106" s="19"/>
      <c r="AH106" s="19" t="str">
        <f>IF(T_MEDIDAS[[#This Row],[Riesgos laborales]],"Si","No")</f>
        <v>No</v>
      </c>
      <c r="AI106" s="19">
        <v>1</v>
      </c>
      <c r="AJ106" s="19" t="str">
        <f>IF(T_MEDIDAS[[#This Row],[Educación]],"Si","No")</f>
        <v>Si</v>
      </c>
      <c r="AK106" s="19"/>
      <c r="AL106" s="19" t="str">
        <f>IF(T_MEDIDAS[[#This Row],[Servicios sociales]],"Si","No")</f>
        <v>No</v>
      </c>
      <c r="AM106" s="19"/>
      <c r="AN106" s="19" t="str">
        <f>IF(T_MEDIDAS[[#This Row],[Servicios de emergencia y policía]],"Si","No")</f>
        <v>No</v>
      </c>
      <c r="AO106" s="19"/>
      <c r="AP106" s="19" t="str">
        <f>IF(T_MEDIDAS[[#This Row],[Parques y jardines]],"Si","No")</f>
        <v>No</v>
      </c>
      <c r="AQ106" s="19"/>
      <c r="AR106" s="19" t="str">
        <f>IF(T_MEDIDAS[[#This Row],[Transporte]],"Si","No")</f>
        <v>No</v>
      </c>
      <c r="AS106" s="125"/>
      <c r="AT106" s="1" t="str">
        <f>IF(T_MEDIDAS[[#This Row],[Coordinación]],"Si","No")</f>
        <v>No</v>
      </c>
      <c r="AU106" s="2">
        <v>1</v>
      </c>
      <c r="AV106" s="1">
        <v>1</v>
      </c>
      <c r="AW106" s="1">
        <v>1</v>
      </c>
      <c r="AX106" s="1">
        <v>1</v>
      </c>
      <c r="AY106" s="3">
        <v>1</v>
      </c>
      <c r="AZ106" s="43">
        <f>SUMPRODUCT($AT$15:$AX$15,T_MEDIDAS[[#This Row],[&lt;5.000]:[&gt;100.000]])</f>
        <v>1</v>
      </c>
      <c r="BA106" s="1">
        <v>1</v>
      </c>
      <c r="BB106" s="1">
        <v>1</v>
      </c>
      <c r="BC106" s="1">
        <v>1</v>
      </c>
      <c r="BD106" s="1">
        <v>1</v>
      </c>
      <c r="BE106" s="1">
        <v>1</v>
      </c>
      <c r="BF106" s="1">
        <v>1</v>
      </c>
      <c r="BG106" s="1">
        <v>1</v>
      </c>
      <c r="BH106" s="43" cm="1">
        <f t="array" ref="BH106">SUMPRODUCT(--((T_MEDIDAS[[#This Row],[Centros de salud o asistencia social]:[Escuelas / Centros de educación]] + $AZ$15:$BF$15)&gt;0))</f>
        <v>7</v>
      </c>
      <c r="BI106" s="44">
        <v>0</v>
      </c>
      <c r="BJ106" s="44">
        <v>0</v>
      </c>
      <c r="BK106" s="44">
        <v>3</v>
      </c>
      <c r="BL106" s="44">
        <v>2</v>
      </c>
      <c r="BM106" s="44">
        <v>3</v>
      </c>
      <c r="BN106" s="44">
        <v>2</v>
      </c>
      <c r="BO106" s="44">
        <v>3</v>
      </c>
      <c r="BP106" s="44">
        <v>3</v>
      </c>
      <c r="BQ106" s="47" cm="1">
        <f t="array" ref="BQ106">T_MEDIDAS[[#This Row],[Aplicación tamaño]]*(SUMPRODUCT(T_MEDIDAS[[#This Row],[C1_Refrigeración]:[C8_Tiempo]],TRANSPOSE('2.PONDERACIÓN'!$L$13:$L$20))+(ROW(C106)-ROW($C$18)+1)*0.0000000001)*100</f>
        <v>200.00000089</v>
      </c>
      <c r="BR106" s="84"/>
      <c r="BS106" s="90"/>
    </row>
    <row r="107" spans="1:71" ht="34.5" hidden="1">
      <c r="A107" s="84"/>
      <c r="B107" s="90"/>
      <c r="C107" s="84"/>
      <c r="D107" s="43">
        <f>IF(T_MEDIDAS[[#This Row],[Peso Criterios]]&lt;=0,"",_xlfn.RANK.EQ(T_MEDIDAS[[#This Row],[Peso Criterios]],T_MEDIDAS[Peso Criterios]))</f>
        <v>23</v>
      </c>
      <c r="E107" s="116" t="s">
        <v>335</v>
      </c>
      <c r="F107" s="117" t="s">
        <v>72</v>
      </c>
      <c r="G107" s="126" t="s">
        <v>50</v>
      </c>
      <c r="H107" s="126" t="s">
        <v>160</v>
      </c>
      <c r="I107" s="126" t="s">
        <v>336</v>
      </c>
      <c r="J107" s="126"/>
      <c r="K107" s="120">
        <v>1</v>
      </c>
      <c r="L107" s="19"/>
      <c r="M107" s="19"/>
      <c r="N107" s="121" t="str">
        <f t="shared" si="4"/>
        <v>€</v>
      </c>
      <c r="O107" s="122"/>
      <c r="P107" s="122"/>
      <c r="Q107" s="20">
        <v>1</v>
      </c>
      <c r="R107" s="122">
        <v>1</v>
      </c>
      <c r="S107" s="34" t="str">
        <f>IF(T_MEDIDAS[[#This Row],[No risk (0)]]=1,"■","")</f>
        <v/>
      </c>
      <c r="T107" s="35" t="str">
        <f>IF(T_MEDIDAS[[#This Row],[Low risk (1)]]=1,"■","")</f>
        <v/>
      </c>
      <c r="U107" s="36" t="str">
        <f>IF(T_MEDIDAS[[#This Row],[Medidaium risk (2)]]=1,"■","")</f>
        <v>■</v>
      </c>
      <c r="V107" s="81" t="str">
        <f>IF(T_MEDIDAS[[#This Row],[High risk (3)]]=1,"■","")</f>
        <v>■</v>
      </c>
      <c r="W107" s="19" t="str">
        <f t="shared" si="5"/>
        <v>4. Alto (Rojo)</v>
      </c>
      <c r="X107" s="19">
        <f>COUNT(T_MEDIDAS[[#This Row],[Edificios públicos]:[Coordinación]])</f>
        <v>1</v>
      </c>
      <c r="Y107" s="19"/>
      <c r="Z107" s="19" t="str">
        <f>IF(T_MEDIDAS[[#This Row],[Edificios públicos]]=1,"Si","No")</f>
        <v>No</v>
      </c>
      <c r="AA107" s="19"/>
      <c r="AB107" s="19" t="str">
        <f>IF(T_MEDIDAS[[#This Row],[Planificación urbana]]=1,"Si","No")</f>
        <v>No</v>
      </c>
      <c r="AC107" s="19"/>
      <c r="AD107" s="19" t="str">
        <f>IF(T_MEDIDAS[[#This Row],[Cultura y deportes]],"Si","No")</f>
        <v>No</v>
      </c>
      <c r="AE107" s="19"/>
      <c r="AF107" s="19" t="str">
        <f>IF(T_MEDIDAS[[#This Row],[Turismo]],"Si","No")</f>
        <v>No</v>
      </c>
      <c r="AG107" s="19"/>
      <c r="AH107" s="19" t="str">
        <f>IF(T_MEDIDAS[[#This Row],[Riesgos laborales]],"Si","No")</f>
        <v>No</v>
      </c>
      <c r="AI107" s="19">
        <v>1</v>
      </c>
      <c r="AJ107" s="19" t="str">
        <f>IF(T_MEDIDAS[[#This Row],[Educación]],"Si","No")</f>
        <v>Si</v>
      </c>
      <c r="AK107" s="19"/>
      <c r="AL107" s="19" t="str">
        <f>IF(T_MEDIDAS[[#This Row],[Servicios sociales]],"Si","No")</f>
        <v>No</v>
      </c>
      <c r="AM107" s="19"/>
      <c r="AN107" s="19" t="str">
        <f>IF(T_MEDIDAS[[#This Row],[Servicios de emergencia y policía]],"Si","No")</f>
        <v>No</v>
      </c>
      <c r="AO107" s="19"/>
      <c r="AP107" s="19" t="str">
        <f>IF(T_MEDIDAS[[#This Row],[Parques y jardines]],"Si","No")</f>
        <v>No</v>
      </c>
      <c r="AQ107" s="19"/>
      <c r="AR107" s="19" t="str">
        <f>IF(T_MEDIDAS[[#This Row],[Transporte]],"Si","No")</f>
        <v>No</v>
      </c>
      <c r="AS107" s="125"/>
      <c r="AT107" s="1" t="str">
        <f>IF(T_MEDIDAS[[#This Row],[Coordinación]],"Si","No")</f>
        <v>No</v>
      </c>
      <c r="AU107" s="2">
        <v>1</v>
      </c>
      <c r="AV107" s="1">
        <v>1</v>
      </c>
      <c r="AW107" s="1">
        <v>1</v>
      </c>
      <c r="AX107" s="1">
        <v>1</v>
      </c>
      <c r="AY107" s="3">
        <v>1</v>
      </c>
      <c r="AZ107" s="43">
        <f>SUMPRODUCT($AT$15:$AX$15,T_MEDIDAS[[#This Row],[&lt;5.000]:[&gt;100.000]])</f>
        <v>1</v>
      </c>
      <c r="BA107" s="1">
        <v>1</v>
      </c>
      <c r="BB107" s="1">
        <v>1</v>
      </c>
      <c r="BC107" s="1">
        <v>1</v>
      </c>
      <c r="BD107" s="1">
        <v>1</v>
      </c>
      <c r="BE107" s="1">
        <v>1</v>
      </c>
      <c r="BF107" s="1">
        <v>1</v>
      </c>
      <c r="BG107" s="1">
        <v>1</v>
      </c>
      <c r="BH107" s="43" cm="1">
        <f t="array" ref="BH107">SUMPRODUCT(--((T_MEDIDAS[[#This Row],[Centros de salud o asistencia social]:[Escuelas / Centros de educación]] + $AZ$15:$BF$15)&gt;0))</f>
        <v>7</v>
      </c>
      <c r="BI107" s="1">
        <v>0</v>
      </c>
      <c r="BJ107" s="1">
        <v>0</v>
      </c>
      <c r="BK107" s="1">
        <v>3</v>
      </c>
      <c r="BL107" s="1">
        <v>2</v>
      </c>
      <c r="BM107" s="1">
        <v>3</v>
      </c>
      <c r="BN107" s="1">
        <v>2</v>
      </c>
      <c r="BO107" s="1">
        <v>3</v>
      </c>
      <c r="BP107" s="1">
        <v>3</v>
      </c>
      <c r="BQ107" s="47" cm="1">
        <f t="array" ref="BQ107">T_MEDIDAS[[#This Row],[Aplicación tamaño]]*(SUMPRODUCT(T_MEDIDAS[[#This Row],[C1_Refrigeración]:[C8_Tiempo]],TRANSPOSE('2.PONDERACIÓN'!$L$13:$L$20))+(ROW(C107)-ROW($C$18)+1)*0.0000000001)*100</f>
        <v>200.00000089999997</v>
      </c>
      <c r="BR107" s="84"/>
      <c r="BS107" s="90"/>
    </row>
    <row r="108" spans="1:71" ht="43.5" hidden="1">
      <c r="A108" s="84"/>
      <c r="B108" s="90"/>
      <c r="C108" s="84"/>
      <c r="D108" s="43">
        <f>IF(T_MEDIDAS[[#This Row],[Peso Criterios]]&lt;=0,"",_xlfn.RANK.EQ(T_MEDIDAS[[#This Row],[Peso Criterios]],T_MEDIDAS[Peso Criterios]))</f>
        <v>22</v>
      </c>
      <c r="E108" s="116" t="s">
        <v>337</v>
      </c>
      <c r="F108" s="117" t="s">
        <v>72</v>
      </c>
      <c r="G108" s="126" t="s">
        <v>56</v>
      </c>
      <c r="H108" s="126" t="s">
        <v>273</v>
      </c>
      <c r="I108" s="126" t="s">
        <v>338</v>
      </c>
      <c r="J108" s="126"/>
      <c r="K108" s="120">
        <v>1</v>
      </c>
      <c r="L108" s="19"/>
      <c r="M108" s="19"/>
      <c r="N108" s="121" t="str">
        <f t="shared" si="4"/>
        <v>€</v>
      </c>
      <c r="O108" s="122"/>
      <c r="P108" s="122"/>
      <c r="Q108" s="20">
        <v>1</v>
      </c>
      <c r="R108" s="122">
        <v>1</v>
      </c>
      <c r="S108" s="34" t="str">
        <f>IF(T_MEDIDAS[[#This Row],[No risk (0)]]=1,"■","")</f>
        <v/>
      </c>
      <c r="T108" s="35" t="str">
        <f>IF(T_MEDIDAS[[#This Row],[Low risk (1)]]=1,"■","")</f>
        <v/>
      </c>
      <c r="U108" s="36" t="str">
        <f>IF(T_MEDIDAS[[#This Row],[Medidaium risk (2)]]=1,"■","")</f>
        <v>■</v>
      </c>
      <c r="V108" s="81" t="str">
        <f>IF(T_MEDIDAS[[#This Row],[High risk (3)]]=1,"■","")</f>
        <v>■</v>
      </c>
      <c r="W108" s="19" t="str">
        <f t="shared" si="5"/>
        <v>4. Alto (Rojo)</v>
      </c>
      <c r="X108" s="19">
        <f>COUNT(T_MEDIDAS[[#This Row],[Edificios públicos]:[Coordinación]])</f>
        <v>1</v>
      </c>
      <c r="Y108" s="19"/>
      <c r="Z108" s="19" t="str">
        <f>IF(T_MEDIDAS[[#This Row],[Edificios públicos]]=1,"Si","No")</f>
        <v>No</v>
      </c>
      <c r="AA108" s="19"/>
      <c r="AB108" s="19" t="str">
        <f>IF(T_MEDIDAS[[#This Row],[Planificación urbana]]=1,"Si","No")</f>
        <v>No</v>
      </c>
      <c r="AC108" s="19"/>
      <c r="AD108" s="19" t="str">
        <f>IF(T_MEDIDAS[[#This Row],[Cultura y deportes]],"Si","No")</f>
        <v>No</v>
      </c>
      <c r="AE108" s="19"/>
      <c r="AF108" s="19" t="str">
        <f>IF(T_MEDIDAS[[#This Row],[Turismo]],"Si","No")</f>
        <v>No</v>
      </c>
      <c r="AG108" s="19"/>
      <c r="AH108" s="19" t="str">
        <f>IF(T_MEDIDAS[[#This Row],[Riesgos laborales]],"Si","No")</f>
        <v>No</v>
      </c>
      <c r="AI108" s="19">
        <v>1</v>
      </c>
      <c r="AJ108" s="19" t="str">
        <f>IF(T_MEDIDAS[[#This Row],[Educación]],"Si","No")</f>
        <v>Si</v>
      </c>
      <c r="AK108" s="19"/>
      <c r="AL108" s="19" t="str">
        <f>IF(T_MEDIDAS[[#This Row],[Servicios sociales]],"Si","No")</f>
        <v>No</v>
      </c>
      <c r="AM108" s="19"/>
      <c r="AN108" s="19" t="str">
        <f>IF(T_MEDIDAS[[#This Row],[Servicios de emergencia y policía]],"Si","No")</f>
        <v>No</v>
      </c>
      <c r="AO108" s="19"/>
      <c r="AP108" s="19" t="str">
        <f>IF(T_MEDIDAS[[#This Row],[Parques y jardines]],"Si","No")</f>
        <v>No</v>
      </c>
      <c r="AQ108" s="19"/>
      <c r="AR108" s="19" t="str">
        <f>IF(T_MEDIDAS[[#This Row],[Transporte]],"Si","No")</f>
        <v>No</v>
      </c>
      <c r="AS108" s="125"/>
      <c r="AT108" s="1" t="str">
        <f>IF(T_MEDIDAS[[#This Row],[Coordinación]],"Si","No")</f>
        <v>No</v>
      </c>
      <c r="AU108" s="2">
        <v>1</v>
      </c>
      <c r="AV108" s="1">
        <v>1</v>
      </c>
      <c r="AW108" s="1">
        <v>1</v>
      </c>
      <c r="AX108" s="1">
        <v>1</v>
      </c>
      <c r="AY108" s="3">
        <v>1</v>
      </c>
      <c r="AZ108" s="43">
        <f>SUMPRODUCT($AT$15:$AX$15,T_MEDIDAS[[#This Row],[&lt;5.000]:[&gt;100.000]])</f>
        <v>1</v>
      </c>
      <c r="BA108" s="1">
        <v>1</v>
      </c>
      <c r="BB108" s="1">
        <v>1</v>
      </c>
      <c r="BC108" s="1">
        <v>1</v>
      </c>
      <c r="BD108" s="1">
        <v>1</v>
      </c>
      <c r="BE108" s="1">
        <v>1</v>
      </c>
      <c r="BF108" s="1">
        <v>1</v>
      </c>
      <c r="BG108" s="1">
        <v>1</v>
      </c>
      <c r="BH108" s="43" cm="1">
        <f t="array" ref="BH108">SUMPRODUCT(--((T_MEDIDAS[[#This Row],[Centros de salud o asistencia social]:[Escuelas / Centros de educación]] + $AZ$15:$BF$15)&gt;0))</f>
        <v>7</v>
      </c>
      <c r="BI108" s="44">
        <v>0</v>
      </c>
      <c r="BJ108" s="44">
        <v>0</v>
      </c>
      <c r="BK108" s="44">
        <v>3</v>
      </c>
      <c r="BL108" s="44">
        <v>2</v>
      </c>
      <c r="BM108" s="44">
        <v>3</v>
      </c>
      <c r="BN108" s="44">
        <v>2</v>
      </c>
      <c r="BO108" s="44">
        <v>3</v>
      </c>
      <c r="BP108" s="44">
        <v>3</v>
      </c>
      <c r="BQ108" s="47" cm="1">
        <f t="array" ref="BQ108">T_MEDIDAS[[#This Row],[Aplicación tamaño]]*(SUMPRODUCT(T_MEDIDAS[[#This Row],[C1_Refrigeración]:[C8_Tiempo]],TRANSPOSE('2.PONDERACIÓN'!$L$13:$L$20))+(ROW(C108)-ROW($C$18)+1)*0.0000000001)*100</f>
        <v>200.00000090999998</v>
      </c>
      <c r="BR108" s="84"/>
      <c r="BS108" s="90"/>
    </row>
    <row r="109" spans="1:71" ht="43.5" hidden="1">
      <c r="A109" s="84"/>
      <c r="B109" s="90"/>
      <c r="C109" s="84"/>
      <c r="D109" s="43">
        <f>IF(T_MEDIDAS[[#This Row],[Peso Criterios]]&lt;=0,"",_xlfn.RANK.EQ(T_MEDIDAS[[#This Row],[Peso Criterios]],T_MEDIDAS[Peso Criterios]))</f>
        <v>21</v>
      </c>
      <c r="E109" s="116" t="s">
        <v>339</v>
      </c>
      <c r="F109" s="117" t="s">
        <v>72</v>
      </c>
      <c r="G109" s="126" t="s">
        <v>56</v>
      </c>
      <c r="H109" s="126" t="s">
        <v>273</v>
      </c>
      <c r="I109" s="126" t="s">
        <v>340</v>
      </c>
      <c r="J109" s="126"/>
      <c r="K109" s="120">
        <v>1</v>
      </c>
      <c r="L109" s="19"/>
      <c r="M109" s="19"/>
      <c r="N109" s="121" t="str">
        <f t="shared" si="4"/>
        <v>€</v>
      </c>
      <c r="O109" s="122"/>
      <c r="P109" s="122">
        <v>1</v>
      </c>
      <c r="Q109" s="20">
        <v>1</v>
      </c>
      <c r="R109" s="122"/>
      <c r="S109" s="34" t="str">
        <f>IF(T_MEDIDAS[[#This Row],[No risk (0)]]=1,"■","")</f>
        <v/>
      </c>
      <c r="T109" s="35" t="str">
        <f>IF(T_MEDIDAS[[#This Row],[Low risk (1)]]=1,"■","")</f>
        <v>■</v>
      </c>
      <c r="U109" s="36" t="str">
        <f>IF(T_MEDIDAS[[#This Row],[Medidaium risk (2)]]=1,"■","")</f>
        <v>■</v>
      </c>
      <c r="V109" s="81" t="str">
        <f>IF(T_MEDIDAS[[#This Row],[High risk (3)]]=1,"■","")</f>
        <v/>
      </c>
      <c r="W109" s="19" t="str">
        <f t="shared" si="5"/>
        <v>3. Medio (Naranja)</v>
      </c>
      <c r="X109" s="19">
        <f>COUNT(T_MEDIDAS[[#This Row],[Edificios públicos]:[Coordinación]])</f>
        <v>1</v>
      </c>
      <c r="Y109" s="19"/>
      <c r="Z109" s="19" t="str">
        <f>IF(T_MEDIDAS[[#This Row],[Edificios públicos]]=1,"Si","No")</f>
        <v>No</v>
      </c>
      <c r="AA109" s="19"/>
      <c r="AB109" s="19" t="str">
        <f>IF(T_MEDIDAS[[#This Row],[Planificación urbana]]=1,"Si","No")</f>
        <v>No</v>
      </c>
      <c r="AC109" s="19"/>
      <c r="AD109" s="19" t="str">
        <f>IF(T_MEDIDAS[[#This Row],[Cultura y deportes]],"Si","No")</f>
        <v>No</v>
      </c>
      <c r="AE109" s="19"/>
      <c r="AF109" s="19" t="str">
        <f>IF(T_MEDIDAS[[#This Row],[Turismo]],"Si","No")</f>
        <v>No</v>
      </c>
      <c r="AG109" s="19"/>
      <c r="AH109" s="19" t="str">
        <f>IF(T_MEDIDAS[[#This Row],[Riesgos laborales]],"Si","No")</f>
        <v>No</v>
      </c>
      <c r="AI109" s="19">
        <v>1</v>
      </c>
      <c r="AJ109" s="19" t="str">
        <f>IF(T_MEDIDAS[[#This Row],[Educación]],"Si","No")</f>
        <v>Si</v>
      </c>
      <c r="AK109" s="19"/>
      <c r="AL109" s="19" t="str">
        <f>IF(T_MEDIDAS[[#This Row],[Servicios sociales]],"Si","No")</f>
        <v>No</v>
      </c>
      <c r="AM109" s="19"/>
      <c r="AN109" s="19" t="str">
        <f>IF(T_MEDIDAS[[#This Row],[Servicios de emergencia y policía]],"Si","No")</f>
        <v>No</v>
      </c>
      <c r="AO109" s="19"/>
      <c r="AP109" s="19" t="str">
        <f>IF(T_MEDIDAS[[#This Row],[Parques y jardines]],"Si","No")</f>
        <v>No</v>
      </c>
      <c r="AQ109" s="19"/>
      <c r="AR109" s="19" t="str">
        <f>IF(T_MEDIDAS[[#This Row],[Transporte]],"Si","No")</f>
        <v>No</v>
      </c>
      <c r="AS109" s="125"/>
      <c r="AT109" s="1" t="str">
        <f>IF(T_MEDIDAS[[#This Row],[Coordinación]],"Si","No")</f>
        <v>No</v>
      </c>
      <c r="AU109" s="2">
        <v>1</v>
      </c>
      <c r="AV109" s="1">
        <v>1</v>
      </c>
      <c r="AW109" s="1">
        <v>1</v>
      </c>
      <c r="AX109" s="1">
        <v>1</v>
      </c>
      <c r="AY109" s="3">
        <v>1</v>
      </c>
      <c r="AZ109" s="43">
        <f>SUMPRODUCT($AT$15:$AX$15,T_MEDIDAS[[#This Row],[&lt;5.000]:[&gt;100.000]])</f>
        <v>1</v>
      </c>
      <c r="BA109" s="1">
        <v>1</v>
      </c>
      <c r="BB109" s="1">
        <v>1</v>
      </c>
      <c r="BC109" s="1">
        <v>1</v>
      </c>
      <c r="BD109" s="1">
        <v>1</v>
      </c>
      <c r="BE109" s="1">
        <v>1</v>
      </c>
      <c r="BF109" s="1">
        <v>1</v>
      </c>
      <c r="BG109" s="1">
        <v>1</v>
      </c>
      <c r="BH109" s="43" cm="1">
        <f t="array" ref="BH109">SUMPRODUCT(--((T_MEDIDAS[[#This Row],[Centros de salud o asistencia social]:[Escuelas / Centros de educación]] + $AZ$15:$BF$15)&gt;0))</f>
        <v>7</v>
      </c>
      <c r="BI109" s="1">
        <v>0</v>
      </c>
      <c r="BJ109" s="1">
        <v>0</v>
      </c>
      <c r="BK109" s="1">
        <v>3</v>
      </c>
      <c r="BL109" s="1">
        <v>2</v>
      </c>
      <c r="BM109" s="1">
        <v>3</v>
      </c>
      <c r="BN109" s="1">
        <v>2</v>
      </c>
      <c r="BO109" s="1">
        <v>3</v>
      </c>
      <c r="BP109" s="1">
        <v>3</v>
      </c>
      <c r="BQ109" s="47" cm="1">
        <f t="array" ref="BQ109">T_MEDIDAS[[#This Row],[Aplicación tamaño]]*(SUMPRODUCT(T_MEDIDAS[[#This Row],[C1_Refrigeración]:[C8_Tiempo]],TRANSPOSE('2.PONDERACIÓN'!$L$13:$L$20))+(ROW(C109)-ROW($C$18)+1)*0.0000000001)*100</f>
        <v>200.00000091999999</v>
      </c>
      <c r="BR109" s="84"/>
      <c r="BS109" s="90"/>
    </row>
    <row r="110" spans="1:71" ht="34.5" hidden="1">
      <c r="A110" s="84"/>
      <c r="B110" s="90"/>
      <c r="C110" s="84"/>
      <c r="D110" s="43">
        <f>IF(T_MEDIDAS[[#This Row],[Peso Criterios]]&lt;=0,"",_xlfn.RANK.EQ(T_MEDIDAS[[#This Row],[Peso Criterios]],T_MEDIDAS[Peso Criterios]))</f>
        <v>6</v>
      </c>
      <c r="E110" s="116" t="s">
        <v>341</v>
      </c>
      <c r="F110" s="117" t="s">
        <v>72</v>
      </c>
      <c r="G110" s="126" t="s">
        <v>56</v>
      </c>
      <c r="H110" s="126" t="s">
        <v>273</v>
      </c>
      <c r="I110" s="126" t="s">
        <v>342</v>
      </c>
      <c r="J110" s="126"/>
      <c r="K110" s="120">
        <v>1</v>
      </c>
      <c r="L110" s="19"/>
      <c r="M110" s="19"/>
      <c r="N110" s="121" t="str">
        <f t="shared" si="4"/>
        <v>€</v>
      </c>
      <c r="O110" s="122"/>
      <c r="P110" s="122">
        <v>1</v>
      </c>
      <c r="Q110" s="20">
        <v>1</v>
      </c>
      <c r="R110" s="122"/>
      <c r="S110" s="34" t="str">
        <f>IF(T_MEDIDAS[[#This Row],[No risk (0)]]=1,"■","")</f>
        <v/>
      </c>
      <c r="T110" s="35" t="str">
        <f>IF(T_MEDIDAS[[#This Row],[Low risk (1)]]=1,"■","")</f>
        <v>■</v>
      </c>
      <c r="U110" s="36" t="str">
        <f>IF(T_MEDIDAS[[#This Row],[Medidaium risk (2)]]=1,"■","")</f>
        <v>■</v>
      </c>
      <c r="V110" s="81" t="str">
        <f>IF(T_MEDIDAS[[#This Row],[High risk (3)]]=1,"■","")</f>
        <v/>
      </c>
      <c r="W110" s="19" t="str">
        <f t="shared" si="5"/>
        <v>3. Medio (Naranja)</v>
      </c>
      <c r="X110" s="19">
        <f>COUNT(T_MEDIDAS[[#This Row],[Edificios públicos]:[Coordinación]])</f>
        <v>4</v>
      </c>
      <c r="Y110" s="19">
        <v>1</v>
      </c>
      <c r="Z110" s="19" t="str">
        <f>IF(T_MEDIDAS[[#This Row],[Edificios públicos]]=1,"Si","No")</f>
        <v>Si</v>
      </c>
      <c r="AA110" s="19"/>
      <c r="AB110" s="19" t="str">
        <f>IF(T_MEDIDAS[[#This Row],[Planificación urbana]]=1,"Si","No")</f>
        <v>No</v>
      </c>
      <c r="AC110" s="19">
        <v>1</v>
      </c>
      <c r="AD110" s="19" t="str">
        <f>IF(T_MEDIDAS[[#This Row],[Cultura y deportes]],"Si","No")</f>
        <v>Si</v>
      </c>
      <c r="AE110" s="19"/>
      <c r="AF110" s="19" t="str">
        <f>IF(T_MEDIDAS[[#This Row],[Turismo]],"Si","No")</f>
        <v>No</v>
      </c>
      <c r="AG110" s="19"/>
      <c r="AH110" s="19" t="str">
        <f>IF(T_MEDIDAS[[#This Row],[Riesgos laborales]],"Si","No")</f>
        <v>No</v>
      </c>
      <c r="AI110" s="19">
        <v>1</v>
      </c>
      <c r="AJ110" s="19" t="str">
        <f>IF(T_MEDIDAS[[#This Row],[Educación]],"Si","No")</f>
        <v>Si</v>
      </c>
      <c r="AK110" s="19">
        <v>1</v>
      </c>
      <c r="AL110" s="19" t="str">
        <f>IF(T_MEDIDAS[[#This Row],[Servicios sociales]],"Si","No")</f>
        <v>Si</v>
      </c>
      <c r="AM110" s="19"/>
      <c r="AN110" s="19" t="str">
        <f>IF(T_MEDIDAS[[#This Row],[Servicios de emergencia y policía]],"Si","No")</f>
        <v>No</v>
      </c>
      <c r="AO110" s="19"/>
      <c r="AP110" s="19" t="str">
        <f>IF(T_MEDIDAS[[#This Row],[Parques y jardines]],"Si","No")</f>
        <v>No</v>
      </c>
      <c r="AQ110" s="19"/>
      <c r="AR110" s="19" t="str">
        <f>IF(T_MEDIDAS[[#This Row],[Transporte]],"Si","No")</f>
        <v>No</v>
      </c>
      <c r="AS110" s="125"/>
      <c r="AT110" s="1" t="str">
        <f>IF(T_MEDIDAS[[#This Row],[Coordinación]],"Si","No")</f>
        <v>No</v>
      </c>
      <c r="AU110" s="2">
        <v>1</v>
      </c>
      <c r="AV110" s="1">
        <v>1</v>
      </c>
      <c r="AW110" s="1">
        <v>1</v>
      </c>
      <c r="AX110" s="1">
        <v>1</v>
      </c>
      <c r="AY110" s="3">
        <v>1</v>
      </c>
      <c r="AZ110" s="43">
        <f>SUMPRODUCT($AT$15:$AX$15,T_MEDIDAS[[#This Row],[&lt;5.000]:[&gt;100.000]])</f>
        <v>1</v>
      </c>
      <c r="BA110" s="1">
        <v>1</v>
      </c>
      <c r="BB110" s="1">
        <v>1</v>
      </c>
      <c r="BC110" s="1">
        <v>1</v>
      </c>
      <c r="BD110" s="1">
        <v>1</v>
      </c>
      <c r="BE110" s="1">
        <v>1</v>
      </c>
      <c r="BF110" s="1">
        <v>1</v>
      </c>
      <c r="BG110" s="1">
        <v>1</v>
      </c>
      <c r="BH110" s="43" cm="1">
        <f t="array" ref="BH110">SUMPRODUCT(--((T_MEDIDAS[[#This Row],[Centros de salud o asistencia social]:[Escuelas / Centros de educación]] + $AZ$15:$BF$15)&gt;0))</f>
        <v>7</v>
      </c>
      <c r="BI110" s="44">
        <v>0</v>
      </c>
      <c r="BJ110" s="44">
        <v>0</v>
      </c>
      <c r="BK110" s="44">
        <v>3</v>
      </c>
      <c r="BL110" s="44">
        <v>3</v>
      </c>
      <c r="BM110" s="44">
        <v>3</v>
      </c>
      <c r="BN110" s="44">
        <v>2</v>
      </c>
      <c r="BO110" s="44">
        <v>3</v>
      </c>
      <c r="BP110" s="44">
        <v>3</v>
      </c>
      <c r="BQ110" s="47" cm="1">
        <f t="array" ref="BQ110">T_MEDIDAS[[#This Row],[Aplicación tamaño]]*(SUMPRODUCT(T_MEDIDAS[[#This Row],[C1_Refrigeración]:[C8_Tiempo]],TRANSPOSE('2.PONDERACIÓN'!$L$13:$L$20))+(ROW(C110)-ROW($C$18)+1)*0.0000000001)*100</f>
        <v>212.50000093</v>
      </c>
      <c r="BR110" s="84"/>
      <c r="BS110" s="90"/>
    </row>
    <row r="111" spans="1:71" ht="57.95" hidden="1">
      <c r="A111" s="84"/>
      <c r="B111" s="90"/>
      <c r="C111" s="84"/>
      <c r="D111" s="43">
        <f>IF(T_MEDIDAS[[#This Row],[Peso Criterios]]&lt;=0,"",_xlfn.RANK.EQ(T_MEDIDAS[[#This Row],[Peso Criterios]],T_MEDIDAS[Peso Criterios]))</f>
        <v>65</v>
      </c>
      <c r="E111" s="116" t="s">
        <v>343</v>
      </c>
      <c r="F111" s="117" t="s">
        <v>72</v>
      </c>
      <c r="G111" s="126" t="s">
        <v>50</v>
      </c>
      <c r="H111" s="126" t="s">
        <v>151</v>
      </c>
      <c r="I111" s="126" t="s">
        <v>344</v>
      </c>
      <c r="J111" s="126"/>
      <c r="K111" s="120">
        <v>1</v>
      </c>
      <c r="L111" s="19"/>
      <c r="M111" s="19"/>
      <c r="N111" s="121" t="str">
        <f t="shared" si="4"/>
        <v>€</v>
      </c>
      <c r="O111" s="122"/>
      <c r="P111" s="122"/>
      <c r="Q111" s="20">
        <v>1</v>
      </c>
      <c r="R111" s="122">
        <v>1</v>
      </c>
      <c r="S111" s="34" t="str">
        <f>IF(T_MEDIDAS[[#This Row],[No risk (0)]]=1,"■","")</f>
        <v/>
      </c>
      <c r="T111" s="35" t="str">
        <f>IF(T_MEDIDAS[[#This Row],[Low risk (1)]]=1,"■","")</f>
        <v/>
      </c>
      <c r="U111" s="36" t="str">
        <f>IF(T_MEDIDAS[[#This Row],[Medidaium risk (2)]]=1,"■","")</f>
        <v>■</v>
      </c>
      <c r="V111" s="81" t="str">
        <f>IF(T_MEDIDAS[[#This Row],[High risk (3)]]=1,"■","")</f>
        <v>■</v>
      </c>
      <c r="W111" s="19" t="str">
        <f t="shared" si="5"/>
        <v>4. Alto (Rojo)</v>
      </c>
      <c r="X111" s="19">
        <f>COUNT(T_MEDIDAS[[#This Row],[Edificios públicos]:[Coordinación]])</f>
        <v>4</v>
      </c>
      <c r="Y111" s="19">
        <v>1</v>
      </c>
      <c r="Z111" s="19" t="str">
        <f>IF(T_MEDIDAS[[#This Row],[Edificios públicos]]=1,"Si","No")</f>
        <v>Si</v>
      </c>
      <c r="AA111" s="19"/>
      <c r="AB111" s="19" t="str">
        <f>IF(T_MEDIDAS[[#This Row],[Planificación urbana]]=1,"Si","No")</f>
        <v>No</v>
      </c>
      <c r="AC111" s="19">
        <v>1</v>
      </c>
      <c r="AD111" s="19" t="str">
        <f>IF(T_MEDIDAS[[#This Row],[Cultura y deportes]],"Si","No")</f>
        <v>Si</v>
      </c>
      <c r="AE111" s="19"/>
      <c r="AF111" s="19" t="str">
        <f>IF(T_MEDIDAS[[#This Row],[Turismo]],"Si","No")</f>
        <v>No</v>
      </c>
      <c r="AG111" s="19"/>
      <c r="AH111" s="19" t="str">
        <f>IF(T_MEDIDAS[[#This Row],[Riesgos laborales]],"Si","No")</f>
        <v>No</v>
      </c>
      <c r="AI111" s="19">
        <v>1</v>
      </c>
      <c r="AJ111" s="19" t="str">
        <f>IF(T_MEDIDAS[[#This Row],[Educación]],"Si","No")</f>
        <v>Si</v>
      </c>
      <c r="AK111" s="19">
        <v>1</v>
      </c>
      <c r="AL111" s="19" t="str">
        <f>IF(T_MEDIDAS[[#This Row],[Servicios sociales]],"Si","No")</f>
        <v>Si</v>
      </c>
      <c r="AM111" s="19"/>
      <c r="AN111" s="19" t="str">
        <f>IF(T_MEDIDAS[[#This Row],[Servicios de emergencia y policía]],"Si","No")</f>
        <v>No</v>
      </c>
      <c r="AO111" s="19"/>
      <c r="AP111" s="19" t="str">
        <f>IF(T_MEDIDAS[[#This Row],[Parques y jardines]],"Si","No")</f>
        <v>No</v>
      </c>
      <c r="AQ111" s="19"/>
      <c r="AR111" s="19" t="str">
        <f>IF(T_MEDIDAS[[#This Row],[Transporte]],"Si","No")</f>
        <v>No</v>
      </c>
      <c r="AS111" s="125"/>
      <c r="AT111" s="1" t="str">
        <f>IF(T_MEDIDAS[[#This Row],[Coordinación]],"Si","No")</f>
        <v>No</v>
      </c>
      <c r="AU111" s="2">
        <v>1</v>
      </c>
      <c r="AV111" s="1">
        <v>1</v>
      </c>
      <c r="AW111" s="1">
        <v>1</v>
      </c>
      <c r="AX111" s="1">
        <v>1</v>
      </c>
      <c r="AY111" s="3">
        <v>1</v>
      </c>
      <c r="AZ111" s="43">
        <f>SUMPRODUCT($AT$15:$AX$15,T_MEDIDAS[[#This Row],[&lt;5.000]:[&gt;100.000]])</f>
        <v>1</v>
      </c>
      <c r="BA111" s="1">
        <v>1</v>
      </c>
      <c r="BB111" s="1">
        <v>1</v>
      </c>
      <c r="BC111" s="1">
        <v>1</v>
      </c>
      <c r="BD111" s="1">
        <v>1</v>
      </c>
      <c r="BE111" s="1">
        <v>1</v>
      </c>
      <c r="BF111" s="1">
        <v>1</v>
      </c>
      <c r="BG111" s="1">
        <v>1</v>
      </c>
      <c r="BH111" s="43" cm="1">
        <f t="array" ref="BH111">SUMPRODUCT(--((T_MEDIDAS[[#This Row],[Centros de salud o asistencia social]:[Escuelas / Centros de educación]] + $AZ$15:$BF$15)&gt;0))</f>
        <v>7</v>
      </c>
      <c r="BI111" s="1">
        <v>0</v>
      </c>
      <c r="BJ111" s="1">
        <v>0</v>
      </c>
      <c r="BK111" s="1">
        <v>2</v>
      </c>
      <c r="BL111" s="1">
        <v>2</v>
      </c>
      <c r="BM111" s="1">
        <v>3</v>
      </c>
      <c r="BN111" s="1">
        <v>2</v>
      </c>
      <c r="BO111" s="1">
        <v>3</v>
      </c>
      <c r="BP111" s="1">
        <v>3</v>
      </c>
      <c r="BQ111" s="47" cm="1">
        <f t="array" ref="BQ111">T_MEDIDAS[[#This Row],[Aplicación tamaño]]*(SUMPRODUCT(T_MEDIDAS[[#This Row],[C1_Refrigeración]:[C8_Tiempo]],TRANSPOSE('2.PONDERACIÓN'!$L$13:$L$20))+(ROW(C111)-ROW($C$18)+1)*0.0000000001)*100</f>
        <v>187.50000093999998</v>
      </c>
      <c r="BR111" s="84"/>
      <c r="BS111" s="90"/>
    </row>
    <row r="112" spans="1:71" ht="34.5" hidden="1">
      <c r="A112" s="84"/>
      <c r="B112" s="90"/>
      <c r="C112" s="84"/>
      <c r="D112" s="43">
        <f>IF(T_MEDIDAS[[#This Row],[Peso Criterios]]&lt;=0,"",_xlfn.RANK.EQ(T_MEDIDAS[[#This Row],[Peso Criterios]],T_MEDIDAS[Peso Criterios]))</f>
        <v>64</v>
      </c>
      <c r="E112" s="116" t="s">
        <v>345</v>
      </c>
      <c r="F112" s="117" t="s">
        <v>72</v>
      </c>
      <c r="G112" s="126" t="s">
        <v>50</v>
      </c>
      <c r="H112" s="126" t="s">
        <v>151</v>
      </c>
      <c r="I112" s="126" t="s">
        <v>346</v>
      </c>
      <c r="J112" s="126"/>
      <c r="K112" s="120">
        <v>1</v>
      </c>
      <c r="L112" s="19"/>
      <c r="M112" s="19"/>
      <c r="N112" s="121" t="str">
        <f t="shared" si="4"/>
        <v>€</v>
      </c>
      <c r="O112" s="122"/>
      <c r="P112" s="122"/>
      <c r="Q112" s="20">
        <v>1</v>
      </c>
      <c r="R112" s="122">
        <v>1</v>
      </c>
      <c r="S112" s="34" t="str">
        <f>IF(T_MEDIDAS[[#This Row],[No risk (0)]]=1,"■","")</f>
        <v/>
      </c>
      <c r="T112" s="35" t="str">
        <f>IF(T_MEDIDAS[[#This Row],[Low risk (1)]]=1,"■","")</f>
        <v/>
      </c>
      <c r="U112" s="36" t="str">
        <f>IF(T_MEDIDAS[[#This Row],[Medidaium risk (2)]]=1,"■","")</f>
        <v>■</v>
      </c>
      <c r="V112" s="81" t="str">
        <f>IF(T_MEDIDAS[[#This Row],[High risk (3)]]=1,"■","")</f>
        <v>■</v>
      </c>
      <c r="W112" s="19" t="str">
        <f t="shared" si="5"/>
        <v>4. Alto (Rojo)</v>
      </c>
      <c r="X112" s="19">
        <f>COUNT(T_MEDIDAS[[#This Row],[Edificios públicos]:[Coordinación]])</f>
        <v>2</v>
      </c>
      <c r="Y112" s="19"/>
      <c r="Z112" s="19" t="str">
        <f>IF(T_MEDIDAS[[#This Row],[Edificios públicos]]=1,"Si","No")</f>
        <v>No</v>
      </c>
      <c r="AA112" s="19"/>
      <c r="AB112" s="19" t="str">
        <f>IF(T_MEDIDAS[[#This Row],[Planificación urbana]]=1,"Si","No")</f>
        <v>No</v>
      </c>
      <c r="AC112" s="19">
        <v>1</v>
      </c>
      <c r="AD112" s="19" t="str">
        <f>IF(T_MEDIDAS[[#This Row],[Cultura y deportes]],"Si","No")</f>
        <v>Si</v>
      </c>
      <c r="AE112" s="19">
        <v>1</v>
      </c>
      <c r="AF112" s="19" t="str">
        <f>IF(T_MEDIDAS[[#This Row],[Turismo]],"Si","No")</f>
        <v>Si</v>
      </c>
      <c r="AG112" s="19"/>
      <c r="AH112" s="19" t="str">
        <f>IF(T_MEDIDAS[[#This Row],[Riesgos laborales]],"Si","No")</f>
        <v>No</v>
      </c>
      <c r="AI112" s="19"/>
      <c r="AJ112" s="19" t="str">
        <f>IF(T_MEDIDAS[[#This Row],[Educación]],"Si","No")</f>
        <v>No</v>
      </c>
      <c r="AK112" s="19"/>
      <c r="AL112" s="19" t="str">
        <f>IF(T_MEDIDAS[[#This Row],[Servicios sociales]],"Si","No")</f>
        <v>No</v>
      </c>
      <c r="AM112" s="19"/>
      <c r="AN112" s="19" t="str">
        <f>IF(T_MEDIDAS[[#This Row],[Servicios de emergencia y policía]],"Si","No")</f>
        <v>No</v>
      </c>
      <c r="AO112" s="19"/>
      <c r="AP112" s="19" t="str">
        <f>IF(T_MEDIDAS[[#This Row],[Parques y jardines]],"Si","No")</f>
        <v>No</v>
      </c>
      <c r="AQ112" s="19"/>
      <c r="AR112" s="19" t="str">
        <f>IF(T_MEDIDAS[[#This Row],[Transporte]],"Si","No")</f>
        <v>No</v>
      </c>
      <c r="AS112" s="125"/>
      <c r="AT112" s="1" t="str">
        <f>IF(T_MEDIDAS[[#This Row],[Coordinación]],"Si","No")</f>
        <v>No</v>
      </c>
      <c r="AU112" s="2">
        <v>1</v>
      </c>
      <c r="AV112" s="1">
        <v>1</v>
      </c>
      <c r="AW112" s="1">
        <v>1</v>
      </c>
      <c r="AX112" s="1">
        <v>1</v>
      </c>
      <c r="AY112" s="3">
        <v>1</v>
      </c>
      <c r="AZ112" s="43">
        <f>SUMPRODUCT($AT$15:$AX$15,T_MEDIDAS[[#This Row],[&lt;5.000]:[&gt;100.000]])</f>
        <v>1</v>
      </c>
      <c r="BA112" s="1">
        <v>1</v>
      </c>
      <c r="BB112" s="1">
        <v>1</v>
      </c>
      <c r="BC112" s="1">
        <v>1</v>
      </c>
      <c r="BD112" s="1">
        <v>1</v>
      </c>
      <c r="BE112" s="1">
        <v>1</v>
      </c>
      <c r="BF112" s="1">
        <v>1</v>
      </c>
      <c r="BG112" s="1">
        <v>1</v>
      </c>
      <c r="BH112" s="43" cm="1">
        <f t="array" ref="BH112">SUMPRODUCT(--((T_MEDIDAS[[#This Row],[Centros de salud o asistencia social]:[Escuelas / Centros de educación]] + $AZ$15:$BF$15)&gt;0))</f>
        <v>7</v>
      </c>
      <c r="BI112" s="44">
        <v>0</v>
      </c>
      <c r="BJ112" s="44">
        <v>0</v>
      </c>
      <c r="BK112" s="44">
        <v>2</v>
      </c>
      <c r="BL112" s="44">
        <v>2</v>
      </c>
      <c r="BM112" s="44">
        <v>3</v>
      </c>
      <c r="BN112" s="44">
        <v>2</v>
      </c>
      <c r="BO112" s="44">
        <v>3</v>
      </c>
      <c r="BP112" s="44">
        <v>3</v>
      </c>
      <c r="BQ112" s="47" cm="1">
        <f t="array" ref="BQ112">T_MEDIDAS[[#This Row],[Aplicación tamaño]]*(SUMPRODUCT(T_MEDIDAS[[#This Row],[C1_Refrigeración]:[C8_Tiempo]],TRANSPOSE('2.PONDERACIÓN'!$L$13:$L$20))+(ROW(C112)-ROW($C$18)+1)*0.0000000001)*100</f>
        <v>187.50000094999999</v>
      </c>
      <c r="BR112" s="84"/>
      <c r="BS112" s="90"/>
    </row>
    <row r="113" spans="1:71" ht="43.5" hidden="1">
      <c r="A113" s="84"/>
      <c r="B113" s="90"/>
      <c r="C113" s="84"/>
      <c r="D113" s="43">
        <f>IF(T_MEDIDAS[[#This Row],[Peso Criterios]]&lt;=0,"",_xlfn.RANK.EQ(T_MEDIDAS[[#This Row],[Peso Criterios]],T_MEDIDAS[Peso Criterios]))</f>
        <v>20</v>
      </c>
      <c r="E113" s="116" t="s">
        <v>347</v>
      </c>
      <c r="F113" s="117" t="s">
        <v>72</v>
      </c>
      <c r="G113" s="126" t="s">
        <v>50</v>
      </c>
      <c r="H113" s="126" t="s">
        <v>151</v>
      </c>
      <c r="I113" s="126" t="s">
        <v>348</v>
      </c>
      <c r="J113" s="126"/>
      <c r="K113" s="120">
        <v>1</v>
      </c>
      <c r="L113" s="19"/>
      <c r="M113" s="19"/>
      <c r="N113" s="121" t="str">
        <f t="shared" si="4"/>
        <v>€</v>
      </c>
      <c r="O113" s="122"/>
      <c r="P113" s="122"/>
      <c r="Q113" s="20">
        <v>1</v>
      </c>
      <c r="R113" s="122">
        <v>1</v>
      </c>
      <c r="S113" s="34" t="str">
        <f>IF(T_MEDIDAS[[#This Row],[No risk (0)]]=1,"■","")</f>
        <v/>
      </c>
      <c r="T113" s="35" t="str">
        <f>IF(T_MEDIDAS[[#This Row],[Low risk (1)]]=1,"■","")</f>
        <v/>
      </c>
      <c r="U113" s="36" t="str">
        <f>IF(T_MEDIDAS[[#This Row],[Medidaium risk (2)]]=1,"■","")</f>
        <v>■</v>
      </c>
      <c r="V113" s="81" t="str">
        <f>IF(T_MEDIDAS[[#This Row],[High risk (3)]]=1,"■","")</f>
        <v>■</v>
      </c>
      <c r="W113" s="19" t="str">
        <f t="shared" si="5"/>
        <v>4. Alto (Rojo)</v>
      </c>
      <c r="X113" s="19">
        <f>COUNT(T_MEDIDAS[[#This Row],[Edificios públicos]:[Coordinación]])</f>
        <v>4</v>
      </c>
      <c r="Y113" s="19">
        <v>1</v>
      </c>
      <c r="Z113" s="19" t="str">
        <f>IF(T_MEDIDAS[[#This Row],[Edificios públicos]]=1,"Si","No")</f>
        <v>Si</v>
      </c>
      <c r="AA113" s="19"/>
      <c r="AB113" s="19" t="str">
        <f>IF(T_MEDIDAS[[#This Row],[Planificación urbana]]=1,"Si","No")</f>
        <v>No</v>
      </c>
      <c r="AC113" s="19">
        <v>1</v>
      </c>
      <c r="AD113" s="19" t="str">
        <f>IF(T_MEDIDAS[[#This Row],[Cultura y deportes]],"Si","No")</f>
        <v>Si</v>
      </c>
      <c r="AE113" s="19"/>
      <c r="AF113" s="19" t="str">
        <f>IF(T_MEDIDAS[[#This Row],[Turismo]],"Si","No")</f>
        <v>No</v>
      </c>
      <c r="AG113" s="19"/>
      <c r="AH113" s="19" t="str">
        <f>IF(T_MEDIDAS[[#This Row],[Riesgos laborales]],"Si","No")</f>
        <v>No</v>
      </c>
      <c r="AI113" s="19">
        <v>1</v>
      </c>
      <c r="AJ113" s="19" t="str">
        <f>IF(T_MEDIDAS[[#This Row],[Educación]],"Si","No")</f>
        <v>Si</v>
      </c>
      <c r="AK113" s="19">
        <v>1</v>
      </c>
      <c r="AL113" s="19" t="str">
        <f>IF(T_MEDIDAS[[#This Row],[Servicios sociales]],"Si","No")</f>
        <v>Si</v>
      </c>
      <c r="AM113" s="19"/>
      <c r="AN113" s="19" t="str">
        <f>IF(T_MEDIDAS[[#This Row],[Servicios de emergencia y policía]],"Si","No")</f>
        <v>No</v>
      </c>
      <c r="AO113" s="19"/>
      <c r="AP113" s="19" t="str">
        <f>IF(T_MEDIDAS[[#This Row],[Parques y jardines]],"Si","No")</f>
        <v>No</v>
      </c>
      <c r="AQ113" s="19"/>
      <c r="AR113" s="19" t="str">
        <f>IF(T_MEDIDAS[[#This Row],[Transporte]],"Si","No")</f>
        <v>No</v>
      </c>
      <c r="AS113" s="125"/>
      <c r="AT113" s="1" t="str">
        <f>IF(T_MEDIDAS[[#This Row],[Coordinación]],"Si","No")</f>
        <v>No</v>
      </c>
      <c r="AU113" s="2">
        <v>1</v>
      </c>
      <c r="AV113" s="1">
        <v>1</v>
      </c>
      <c r="AW113" s="1">
        <v>1</v>
      </c>
      <c r="AX113" s="1">
        <v>1</v>
      </c>
      <c r="AY113" s="3">
        <v>1</v>
      </c>
      <c r="AZ113" s="43">
        <f>SUMPRODUCT($AT$15:$AX$15,T_MEDIDAS[[#This Row],[&lt;5.000]:[&gt;100.000]])</f>
        <v>1</v>
      </c>
      <c r="BA113" s="1">
        <v>1</v>
      </c>
      <c r="BB113" s="1">
        <v>1</v>
      </c>
      <c r="BC113" s="1">
        <v>1</v>
      </c>
      <c r="BD113" s="1">
        <v>1</v>
      </c>
      <c r="BE113" s="1">
        <v>1</v>
      </c>
      <c r="BF113" s="1">
        <v>1</v>
      </c>
      <c r="BG113" s="1">
        <v>1</v>
      </c>
      <c r="BH113" s="43" cm="1">
        <f t="array" ref="BH113">SUMPRODUCT(--((T_MEDIDAS[[#This Row],[Centros de salud o asistencia social]:[Escuelas / Centros de educación]] + $AZ$15:$BF$15)&gt;0))</f>
        <v>7</v>
      </c>
      <c r="BI113" s="1">
        <v>1</v>
      </c>
      <c r="BJ113" s="1">
        <v>0</v>
      </c>
      <c r="BK113" s="1">
        <v>2</v>
      </c>
      <c r="BL113" s="1">
        <v>2</v>
      </c>
      <c r="BM113" s="1">
        <v>3</v>
      </c>
      <c r="BN113" s="1">
        <v>2</v>
      </c>
      <c r="BO113" s="1">
        <v>3</v>
      </c>
      <c r="BP113" s="1">
        <v>3</v>
      </c>
      <c r="BQ113" s="47" cm="1">
        <f t="array" ref="BQ113">T_MEDIDAS[[#This Row],[Aplicación tamaño]]*(SUMPRODUCT(T_MEDIDAS[[#This Row],[C1_Refrigeración]:[C8_Tiempo]],TRANSPOSE('2.PONDERACIÓN'!$L$13:$L$20))+(ROW(C113)-ROW($C$18)+1)*0.0000000001)*100</f>
        <v>200.00000095999999</v>
      </c>
      <c r="BR113" s="84"/>
      <c r="BS113" s="90"/>
    </row>
    <row r="114" spans="1:71" ht="34.5" hidden="1">
      <c r="A114" s="84"/>
      <c r="B114" s="90"/>
      <c r="C114" s="84"/>
      <c r="D114" s="43">
        <f>IF(T_MEDIDAS[[#This Row],[Peso Criterios]]&lt;=0,"",_xlfn.RANK.EQ(T_MEDIDAS[[#This Row],[Peso Criterios]],T_MEDIDAS[Peso Criterios]))</f>
        <v>63</v>
      </c>
      <c r="E114" s="116" t="s">
        <v>349</v>
      </c>
      <c r="F114" s="117" t="s">
        <v>72</v>
      </c>
      <c r="G114" s="126" t="s">
        <v>50</v>
      </c>
      <c r="H114" s="126" t="s">
        <v>151</v>
      </c>
      <c r="I114" s="126" t="s">
        <v>350</v>
      </c>
      <c r="J114" s="126"/>
      <c r="K114" s="120"/>
      <c r="L114" s="19">
        <v>1</v>
      </c>
      <c r="M114" s="19"/>
      <c r="N114" s="121" t="str">
        <f t="shared" ref="N114:N145" si="6">IF(M114&lt;&gt;"","€€€", IF(L114&lt;&gt;"","€€", IF(K114&lt;&gt;"","€","-")))</f>
        <v>€€</v>
      </c>
      <c r="O114" s="122"/>
      <c r="P114" s="122"/>
      <c r="Q114" s="20">
        <v>1</v>
      </c>
      <c r="R114" s="122">
        <v>1</v>
      </c>
      <c r="S114" s="34" t="str">
        <f>IF(T_MEDIDAS[[#This Row],[No risk (0)]]=1,"■","")</f>
        <v/>
      </c>
      <c r="T114" s="35" t="str">
        <f>IF(T_MEDIDAS[[#This Row],[Low risk (1)]]=1,"■","")</f>
        <v/>
      </c>
      <c r="U114" s="36" t="str">
        <f>IF(T_MEDIDAS[[#This Row],[Medidaium risk (2)]]=1,"■","")</f>
        <v>■</v>
      </c>
      <c r="V114" s="81" t="str">
        <f>IF(T_MEDIDAS[[#This Row],[High risk (3)]]=1,"■","")</f>
        <v>■</v>
      </c>
      <c r="W114" s="19" t="str">
        <f t="shared" ref="W114:W145" si="7">IF(R114&lt;&gt;"","4. Alto (Rojo)", IF(Q114&lt;&gt;"","3. Medio (Naranja)", IF(P114&lt;&gt;"","2. Bajo (Amarillo)","1. Sin Riesgo (Verde)")))</f>
        <v>4. Alto (Rojo)</v>
      </c>
      <c r="X114" s="19">
        <f>COUNT(T_MEDIDAS[[#This Row],[Edificios públicos]:[Coordinación]])</f>
        <v>4</v>
      </c>
      <c r="Y114" s="19">
        <v>1</v>
      </c>
      <c r="Z114" s="19" t="str">
        <f>IF(T_MEDIDAS[[#This Row],[Edificios públicos]]=1,"Si","No")</f>
        <v>Si</v>
      </c>
      <c r="AA114" s="19"/>
      <c r="AB114" s="19" t="str">
        <f>IF(T_MEDIDAS[[#This Row],[Planificación urbana]]=1,"Si","No")</f>
        <v>No</v>
      </c>
      <c r="AC114" s="19">
        <v>1</v>
      </c>
      <c r="AD114" s="19" t="str">
        <f>IF(T_MEDIDAS[[#This Row],[Cultura y deportes]],"Si","No")</f>
        <v>Si</v>
      </c>
      <c r="AE114" s="19"/>
      <c r="AF114" s="19" t="str">
        <f>IF(T_MEDIDAS[[#This Row],[Turismo]],"Si","No")</f>
        <v>No</v>
      </c>
      <c r="AG114" s="19"/>
      <c r="AH114" s="19" t="str">
        <f>IF(T_MEDIDAS[[#This Row],[Riesgos laborales]],"Si","No")</f>
        <v>No</v>
      </c>
      <c r="AI114" s="19">
        <v>1</v>
      </c>
      <c r="AJ114" s="19" t="str">
        <f>IF(T_MEDIDAS[[#This Row],[Educación]],"Si","No")</f>
        <v>Si</v>
      </c>
      <c r="AK114" s="19">
        <v>1</v>
      </c>
      <c r="AL114" s="19" t="str">
        <f>IF(T_MEDIDAS[[#This Row],[Servicios sociales]],"Si","No")</f>
        <v>Si</v>
      </c>
      <c r="AM114" s="19"/>
      <c r="AN114" s="19" t="str">
        <f>IF(T_MEDIDAS[[#This Row],[Servicios de emergencia y policía]],"Si","No")</f>
        <v>No</v>
      </c>
      <c r="AO114" s="19"/>
      <c r="AP114" s="19" t="str">
        <f>IF(T_MEDIDAS[[#This Row],[Parques y jardines]],"Si","No")</f>
        <v>No</v>
      </c>
      <c r="AQ114" s="19"/>
      <c r="AR114" s="19" t="str">
        <f>IF(T_MEDIDAS[[#This Row],[Transporte]],"Si","No")</f>
        <v>No</v>
      </c>
      <c r="AS114" s="125"/>
      <c r="AT114" s="1" t="str">
        <f>IF(T_MEDIDAS[[#This Row],[Coordinación]],"Si","No")</f>
        <v>No</v>
      </c>
      <c r="AU114" s="2">
        <v>1</v>
      </c>
      <c r="AV114" s="1">
        <v>1</v>
      </c>
      <c r="AW114" s="1">
        <v>1</v>
      </c>
      <c r="AX114" s="1">
        <v>1</v>
      </c>
      <c r="AY114" s="3">
        <v>1</v>
      </c>
      <c r="AZ114" s="43">
        <f>SUMPRODUCT($AT$15:$AX$15,T_MEDIDAS[[#This Row],[&lt;5.000]:[&gt;100.000]])</f>
        <v>1</v>
      </c>
      <c r="BA114" s="1">
        <v>1</v>
      </c>
      <c r="BB114" s="1">
        <v>1</v>
      </c>
      <c r="BC114" s="1">
        <v>1</v>
      </c>
      <c r="BD114" s="1">
        <v>1</v>
      </c>
      <c r="BE114" s="1">
        <v>1</v>
      </c>
      <c r="BF114" s="1">
        <v>1</v>
      </c>
      <c r="BG114" s="1">
        <v>1</v>
      </c>
      <c r="BH114" s="43" cm="1">
        <f t="array" ref="BH114">SUMPRODUCT(--((T_MEDIDAS[[#This Row],[Centros de salud o asistencia social]:[Escuelas / Centros de educación]] + $AZ$15:$BF$15)&gt;0))</f>
        <v>7</v>
      </c>
      <c r="BI114" s="44">
        <v>1</v>
      </c>
      <c r="BJ114" s="44">
        <v>0</v>
      </c>
      <c r="BK114" s="44">
        <v>2</v>
      </c>
      <c r="BL114" s="44">
        <v>2</v>
      </c>
      <c r="BM114" s="44">
        <v>2</v>
      </c>
      <c r="BN114" s="44">
        <v>2</v>
      </c>
      <c r="BO114" s="44">
        <v>3</v>
      </c>
      <c r="BP114" s="44">
        <v>3</v>
      </c>
      <c r="BQ114" s="47" cm="1">
        <f t="array" ref="BQ114">T_MEDIDAS[[#This Row],[Aplicación tamaño]]*(SUMPRODUCT(T_MEDIDAS[[#This Row],[C1_Refrigeración]:[C8_Tiempo]],TRANSPOSE('2.PONDERACIÓN'!$L$13:$L$20))+(ROW(C114)-ROW($C$18)+1)*0.0000000001)*100</f>
        <v>187.50000097</v>
      </c>
      <c r="BR114" s="84"/>
      <c r="BS114" s="90"/>
    </row>
    <row r="115" spans="1:71" ht="43.5" hidden="1">
      <c r="A115" s="84"/>
      <c r="B115" s="90"/>
      <c r="C115" s="84"/>
      <c r="D115" s="43">
        <f>IF(T_MEDIDAS[[#This Row],[Peso Criterios]]&lt;=0,"",_xlfn.RANK.EQ(T_MEDIDAS[[#This Row],[Peso Criterios]],T_MEDIDAS[Peso Criterios]))</f>
        <v>62</v>
      </c>
      <c r="E115" s="116" t="s">
        <v>351</v>
      </c>
      <c r="F115" s="117" t="s">
        <v>72</v>
      </c>
      <c r="G115" s="126" t="s">
        <v>50</v>
      </c>
      <c r="H115" s="126" t="s">
        <v>151</v>
      </c>
      <c r="I115" s="126" t="s">
        <v>352</v>
      </c>
      <c r="J115" s="126"/>
      <c r="K115" s="120">
        <v>1</v>
      </c>
      <c r="L115" s="19"/>
      <c r="M115" s="19"/>
      <c r="N115" s="121" t="str">
        <f t="shared" si="6"/>
        <v>€</v>
      </c>
      <c r="O115" s="122"/>
      <c r="P115" s="122">
        <v>1</v>
      </c>
      <c r="Q115" s="20">
        <v>1</v>
      </c>
      <c r="R115" s="122">
        <v>1</v>
      </c>
      <c r="S115" s="34" t="str">
        <f>IF(T_MEDIDAS[[#This Row],[No risk (0)]]=1,"■","")</f>
        <v/>
      </c>
      <c r="T115" s="35" t="str">
        <f>IF(T_MEDIDAS[[#This Row],[Low risk (1)]]=1,"■","")</f>
        <v>■</v>
      </c>
      <c r="U115" s="36" t="str">
        <f>IF(T_MEDIDAS[[#This Row],[Medidaium risk (2)]]=1,"■","")</f>
        <v>■</v>
      </c>
      <c r="V115" s="81" t="str">
        <f>IF(T_MEDIDAS[[#This Row],[High risk (3)]]=1,"■","")</f>
        <v>■</v>
      </c>
      <c r="W115" s="19" t="str">
        <f t="shared" si="7"/>
        <v>4. Alto (Rojo)</v>
      </c>
      <c r="X115" s="19">
        <f>COUNT(T_MEDIDAS[[#This Row],[Edificios públicos]:[Coordinación]])</f>
        <v>4</v>
      </c>
      <c r="Y115" s="19">
        <v>1</v>
      </c>
      <c r="Z115" s="19" t="str">
        <f>IF(T_MEDIDAS[[#This Row],[Edificios públicos]]=1,"Si","No")</f>
        <v>Si</v>
      </c>
      <c r="AA115" s="19"/>
      <c r="AB115" s="19" t="str">
        <f>IF(T_MEDIDAS[[#This Row],[Planificación urbana]]=1,"Si","No")</f>
        <v>No</v>
      </c>
      <c r="AC115" s="19">
        <v>1</v>
      </c>
      <c r="AD115" s="19" t="str">
        <f>IF(T_MEDIDAS[[#This Row],[Cultura y deportes]],"Si","No")</f>
        <v>Si</v>
      </c>
      <c r="AE115" s="19"/>
      <c r="AF115" s="19" t="str">
        <f>IF(T_MEDIDAS[[#This Row],[Turismo]],"Si","No")</f>
        <v>No</v>
      </c>
      <c r="AG115" s="19"/>
      <c r="AH115" s="19" t="str">
        <f>IF(T_MEDIDAS[[#This Row],[Riesgos laborales]],"Si","No")</f>
        <v>No</v>
      </c>
      <c r="AI115" s="19">
        <v>1</v>
      </c>
      <c r="AJ115" s="19" t="str">
        <f>IF(T_MEDIDAS[[#This Row],[Educación]],"Si","No")</f>
        <v>Si</v>
      </c>
      <c r="AK115" s="19">
        <v>1</v>
      </c>
      <c r="AL115" s="19" t="str">
        <f>IF(T_MEDIDAS[[#This Row],[Servicios sociales]],"Si","No")</f>
        <v>Si</v>
      </c>
      <c r="AM115" s="19"/>
      <c r="AN115" s="19" t="str">
        <f>IF(T_MEDIDAS[[#This Row],[Servicios de emergencia y policía]],"Si","No")</f>
        <v>No</v>
      </c>
      <c r="AO115" s="19"/>
      <c r="AP115" s="19" t="str">
        <f>IF(T_MEDIDAS[[#This Row],[Parques y jardines]],"Si","No")</f>
        <v>No</v>
      </c>
      <c r="AQ115" s="19"/>
      <c r="AR115" s="19" t="str">
        <f>IF(T_MEDIDAS[[#This Row],[Transporte]],"Si","No")</f>
        <v>No</v>
      </c>
      <c r="AS115" s="125"/>
      <c r="AT115" s="1" t="str">
        <f>IF(T_MEDIDAS[[#This Row],[Coordinación]],"Si","No")</f>
        <v>No</v>
      </c>
      <c r="AU115" s="2">
        <v>1</v>
      </c>
      <c r="AV115" s="1">
        <v>1</v>
      </c>
      <c r="AW115" s="1">
        <v>1</v>
      </c>
      <c r="AX115" s="1">
        <v>1</v>
      </c>
      <c r="AY115" s="3">
        <v>1</v>
      </c>
      <c r="AZ115" s="43">
        <f>SUMPRODUCT($AT$15:$AX$15,T_MEDIDAS[[#This Row],[&lt;5.000]:[&gt;100.000]])</f>
        <v>1</v>
      </c>
      <c r="BA115" s="1">
        <v>1</v>
      </c>
      <c r="BB115" s="1">
        <v>1</v>
      </c>
      <c r="BC115" s="1">
        <v>1</v>
      </c>
      <c r="BD115" s="1">
        <v>1</v>
      </c>
      <c r="BE115" s="1">
        <v>1</v>
      </c>
      <c r="BF115" s="1">
        <v>1</v>
      </c>
      <c r="BG115" s="1">
        <v>1</v>
      </c>
      <c r="BH115" s="43" cm="1">
        <f t="array" ref="BH115">SUMPRODUCT(--((T_MEDIDAS[[#This Row],[Centros de salud o asistencia social]:[Escuelas / Centros de educación]] + $AZ$15:$BF$15)&gt;0))</f>
        <v>7</v>
      </c>
      <c r="BI115" s="1">
        <v>1</v>
      </c>
      <c r="BJ115" s="1">
        <v>0</v>
      </c>
      <c r="BK115" s="1">
        <v>2</v>
      </c>
      <c r="BL115" s="1">
        <v>2</v>
      </c>
      <c r="BM115" s="1">
        <v>2</v>
      </c>
      <c r="BN115" s="1">
        <v>2</v>
      </c>
      <c r="BO115" s="1">
        <v>3</v>
      </c>
      <c r="BP115" s="1">
        <v>3</v>
      </c>
      <c r="BQ115" s="47" cm="1">
        <f t="array" ref="BQ115">T_MEDIDAS[[#This Row],[Aplicación tamaño]]*(SUMPRODUCT(T_MEDIDAS[[#This Row],[C1_Refrigeración]:[C8_Tiempo]],TRANSPOSE('2.PONDERACIÓN'!$L$13:$L$20))+(ROW(C115)-ROW($C$18)+1)*0.0000000001)*100</f>
        <v>187.50000097999998</v>
      </c>
      <c r="BR115" s="84"/>
      <c r="BS115" s="90"/>
    </row>
    <row r="116" spans="1:71" ht="34.5" hidden="1">
      <c r="A116" s="84"/>
      <c r="B116" s="90"/>
      <c r="C116" s="84"/>
      <c r="D116" s="43">
        <f>IF(T_MEDIDAS[[#This Row],[Peso Criterios]]&lt;=0,"",_xlfn.RANK.EQ(T_MEDIDAS[[#This Row],[Peso Criterios]],T_MEDIDAS[Peso Criterios]))</f>
        <v>86</v>
      </c>
      <c r="E116" s="116" t="s">
        <v>353</v>
      </c>
      <c r="F116" s="117" t="s">
        <v>72</v>
      </c>
      <c r="G116" s="126" t="s">
        <v>50</v>
      </c>
      <c r="H116" s="126" t="s">
        <v>151</v>
      </c>
      <c r="I116" s="126" t="s">
        <v>354</v>
      </c>
      <c r="J116" s="126"/>
      <c r="K116" s="120">
        <v>1</v>
      </c>
      <c r="L116" s="19">
        <v>1</v>
      </c>
      <c r="M116" s="19"/>
      <c r="N116" s="121" t="str">
        <f t="shared" si="6"/>
        <v>€€</v>
      </c>
      <c r="O116" s="122"/>
      <c r="P116" s="122"/>
      <c r="Q116" s="20">
        <v>1</v>
      </c>
      <c r="R116" s="122">
        <v>1</v>
      </c>
      <c r="S116" s="34" t="str">
        <f>IF(T_MEDIDAS[[#This Row],[No risk (0)]]=1,"■","")</f>
        <v/>
      </c>
      <c r="T116" s="35" t="str">
        <f>IF(T_MEDIDAS[[#This Row],[Low risk (1)]]=1,"■","")</f>
        <v/>
      </c>
      <c r="U116" s="36" t="str">
        <f>IF(T_MEDIDAS[[#This Row],[Medidaium risk (2)]]=1,"■","")</f>
        <v>■</v>
      </c>
      <c r="V116" s="81" t="str">
        <f>IF(T_MEDIDAS[[#This Row],[High risk (3)]]=1,"■","")</f>
        <v>■</v>
      </c>
      <c r="W116" s="19" t="str">
        <f t="shared" si="7"/>
        <v>4. Alto (Rojo)</v>
      </c>
      <c r="X116" s="19">
        <f>COUNT(T_MEDIDAS[[#This Row],[Edificios públicos]:[Coordinación]])</f>
        <v>2</v>
      </c>
      <c r="Y116" s="19"/>
      <c r="Z116" s="19" t="str">
        <f>IF(T_MEDIDAS[[#This Row],[Edificios públicos]]=1,"Si","No")</f>
        <v>No</v>
      </c>
      <c r="AA116" s="19"/>
      <c r="AB116" s="19" t="str">
        <f>IF(T_MEDIDAS[[#This Row],[Planificación urbana]]=1,"Si","No")</f>
        <v>No</v>
      </c>
      <c r="AC116" s="19"/>
      <c r="AD116" s="19" t="str">
        <f>IF(T_MEDIDAS[[#This Row],[Cultura y deportes]],"Si","No")</f>
        <v>No</v>
      </c>
      <c r="AE116" s="19"/>
      <c r="AF116" s="19" t="str">
        <f>IF(T_MEDIDAS[[#This Row],[Turismo]],"Si","No")</f>
        <v>No</v>
      </c>
      <c r="AG116" s="19"/>
      <c r="AH116" s="19" t="str">
        <f>IF(T_MEDIDAS[[#This Row],[Riesgos laborales]],"Si","No")</f>
        <v>No</v>
      </c>
      <c r="AI116" s="19"/>
      <c r="AJ116" s="19" t="str">
        <f>IF(T_MEDIDAS[[#This Row],[Educación]],"Si","No")</f>
        <v>No</v>
      </c>
      <c r="AK116" s="19"/>
      <c r="AL116" s="19" t="str">
        <f>IF(T_MEDIDAS[[#This Row],[Servicios sociales]],"Si","No")</f>
        <v>No</v>
      </c>
      <c r="AM116" s="19">
        <v>1</v>
      </c>
      <c r="AN116" s="19" t="str">
        <f>IF(T_MEDIDAS[[#This Row],[Servicios de emergencia y policía]],"Si","No")</f>
        <v>Si</v>
      </c>
      <c r="AO116" s="19"/>
      <c r="AP116" s="19" t="str">
        <f>IF(T_MEDIDAS[[#This Row],[Parques y jardines]],"Si","No")</f>
        <v>No</v>
      </c>
      <c r="AQ116" s="19"/>
      <c r="AR116" s="19" t="str">
        <f>IF(T_MEDIDAS[[#This Row],[Transporte]],"Si","No")</f>
        <v>No</v>
      </c>
      <c r="AS116" s="125">
        <v>1</v>
      </c>
      <c r="AT116" s="1" t="str">
        <f>IF(T_MEDIDAS[[#This Row],[Coordinación]],"Si","No")</f>
        <v>Si</v>
      </c>
      <c r="AU116" s="2">
        <v>1</v>
      </c>
      <c r="AV116" s="1">
        <v>1</v>
      </c>
      <c r="AW116" s="1">
        <v>1</v>
      </c>
      <c r="AX116" s="1">
        <v>1</v>
      </c>
      <c r="AY116" s="3">
        <v>1</v>
      </c>
      <c r="AZ116" s="43">
        <f>SUMPRODUCT($AT$15:$AX$15,T_MEDIDAS[[#This Row],[&lt;5.000]:[&gt;100.000]])</f>
        <v>1</v>
      </c>
      <c r="BA116" s="1">
        <v>1</v>
      </c>
      <c r="BB116" s="1">
        <v>1</v>
      </c>
      <c r="BC116" s="1">
        <v>1</v>
      </c>
      <c r="BD116" s="1">
        <v>1</v>
      </c>
      <c r="BE116" s="1">
        <v>1</v>
      </c>
      <c r="BF116" s="1">
        <v>1</v>
      </c>
      <c r="BG116" s="1">
        <v>1</v>
      </c>
      <c r="BH116" s="43" cm="1">
        <f t="array" ref="BH116">SUMPRODUCT(--((T_MEDIDAS[[#This Row],[Centros de salud o asistencia social]:[Escuelas / Centros de educación]] + $AZ$15:$BF$15)&gt;0))</f>
        <v>7</v>
      </c>
      <c r="BI116" s="44">
        <v>0</v>
      </c>
      <c r="BJ116" s="44">
        <v>0</v>
      </c>
      <c r="BK116" s="44">
        <v>3</v>
      </c>
      <c r="BL116" s="44">
        <v>3</v>
      </c>
      <c r="BM116" s="44">
        <v>2</v>
      </c>
      <c r="BN116" s="44">
        <v>2</v>
      </c>
      <c r="BO116" s="44">
        <v>2</v>
      </c>
      <c r="BP116" s="44">
        <v>2</v>
      </c>
      <c r="BQ116" s="47" cm="1">
        <f t="array" ref="BQ116">T_MEDIDAS[[#This Row],[Aplicación tamaño]]*(SUMPRODUCT(T_MEDIDAS[[#This Row],[C1_Refrigeración]:[C8_Tiempo]],TRANSPOSE('2.PONDERACIÓN'!$L$13:$L$20))+(ROW(C116)-ROW($C$18)+1)*0.0000000001)*100</f>
        <v>175.00000098999999</v>
      </c>
      <c r="BR116" s="84"/>
      <c r="BS116" s="90"/>
    </row>
    <row r="117" spans="1:71" ht="34.5" hidden="1">
      <c r="A117" s="84"/>
      <c r="B117" s="90"/>
      <c r="C117" s="84"/>
      <c r="D117" s="43">
        <f>IF(T_MEDIDAS[[#This Row],[Peso Criterios]]&lt;=0,"",_xlfn.RANK.EQ(T_MEDIDAS[[#This Row],[Peso Criterios]],T_MEDIDAS[Peso Criterios]))</f>
        <v>19</v>
      </c>
      <c r="E117" s="116" t="s">
        <v>355</v>
      </c>
      <c r="F117" s="117" t="s">
        <v>72</v>
      </c>
      <c r="G117" s="126" t="s">
        <v>50</v>
      </c>
      <c r="H117" s="126" t="s">
        <v>151</v>
      </c>
      <c r="I117" s="126" t="s">
        <v>356</v>
      </c>
      <c r="J117" s="126"/>
      <c r="K117" s="120">
        <v>1</v>
      </c>
      <c r="L117" s="19"/>
      <c r="M117" s="19"/>
      <c r="N117" s="121" t="str">
        <f t="shared" si="6"/>
        <v>€</v>
      </c>
      <c r="O117" s="122"/>
      <c r="P117" s="122">
        <v>1</v>
      </c>
      <c r="Q117" s="20">
        <v>1</v>
      </c>
      <c r="R117" s="122">
        <v>1</v>
      </c>
      <c r="S117" s="34" t="str">
        <f>IF(T_MEDIDAS[[#This Row],[No risk (0)]]=1,"■","")</f>
        <v/>
      </c>
      <c r="T117" s="35" t="str">
        <f>IF(T_MEDIDAS[[#This Row],[Low risk (1)]]=1,"■","")</f>
        <v>■</v>
      </c>
      <c r="U117" s="36" t="str">
        <f>IF(T_MEDIDAS[[#This Row],[Medidaium risk (2)]]=1,"■","")</f>
        <v>■</v>
      </c>
      <c r="V117" s="81" t="str">
        <f>IF(T_MEDIDAS[[#This Row],[High risk (3)]]=1,"■","")</f>
        <v>■</v>
      </c>
      <c r="W117" s="19" t="str">
        <f t="shared" si="7"/>
        <v>4. Alto (Rojo)</v>
      </c>
      <c r="X117" s="19">
        <f>COUNT(T_MEDIDAS[[#This Row],[Edificios públicos]:[Coordinación]])</f>
        <v>1</v>
      </c>
      <c r="Y117" s="19"/>
      <c r="Z117" s="19" t="str">
        <f>IF(T_MEDIDAS[[#This Row],[Edificios públicos]]=1,"Si","No")</f>
        <v>No</v>
      </c>
      <c r="AA117" s="19"/>
      <c r="AB117" s="19" t="str">
        <f>IF(T_MEDIDAS[[#This Row],[Planificación urbana]]=1,"Si","No")</f>
        <v>No</v>
      </c>
      <c r="AC117" s="19"/>
      <c r="AD117" s="19" t="str">
        <f>IF(T_MEDIDAS[[#This Row],[Cultura y deportes]],"Si","No")</f>
        <v>No</v>
      </c>
      <c r="AE117" s="19"/>
      <c r="AF117" s="19" t="str">
        <f>IF(T_MEDIDAS[[#This Row],[Turismo]],"Si","No")</f>
        <v>No</v>
      </c>
      <c r="AG117" s="19"/>
      <c r="AH117" s="19" t="str">
        <f>IF(T_MEDIDAS[[#This Row],[Riesgos laborales]],"Si","No")</f>
        <v>No</v>
      </c>
      <c r="AI117" s="19"/>
      <c r="AJ117" s="19" t="str">
        <f>IF(T_MEDIDAS[[#This Row],[Educación]],"Si","No")</f>
        <v>No</v>
      </c>
      <c r="AK117" s="19">
        <v>1</v>
      </c>
      <c r="AL117" s="19" t="str">
        <f>IF(T_MEDIDAS[[#This Row],[Servicios sociales]],"Si","No")</f>
        <v>Si</v>
      </c>
      <c r="AM117" s="19"/>
      <c r="AN117" s="19" t="str">
        <f>IF(T_MEDIDAS[[#This Row],[Servicios de emergencia y policía]],"Si","No")</f>
        <v>No</v>
      </c>
      <c r="AO117" s="19"/>
      <c r="AP117" s="19" t="str">
        <f>IF(T_MEDIDAS[[#This Row],[Parques y jardines]],"Si","No")</f>
        <v>No</v>
      </c>
      <c r="AQ117" s="19"/>
      <c r="AR117" s="19" t="str">
        <f>IF(T_MEDIDAS[[#This Row],[Transporte]],"Si","No")</f>
        <v>No</v>
      </c>
      <c r="AS117" s="125"/>
      <c r="AT117" s="1" t="str">
        <f>IF(T_MEDIDAS[[#This Row],[Coordinación]],"Si","No")</f>
        <v>No</v>
      </c>
      <c r="AU117" s="2">
        <v>1</v>
      </c>
      <c r="AV117" s="1">
        <v>1</v>
      </c>
      <c r="AW117" s="1">
        <v>1</v>
      </c>
      <c r="AX117" s="1">
        <v>1</v>
      </c>
      <c r="AY117" s="3">
        <v>1</v>
      </c>
      <c r="AZ117" s="43">
        <f>SUMPRODUCT($AT$15:$AX$15,T_MEDIDAS[[#This Row],[&lt;5.000]:[&gt;100.000]])</f>
        <v>1</v>
      </c>
      <c r="BA117" s="1">
        <v>1</v>
      </c>
      <c r="BB117" s="1">
        <v>1</v>
      </c>
      <c r="BC117" s="1">
        <v>1</v>
      </c>
      <c r="BD117" s="1">
        <v>1</v>
      </c>
      <c r="BE117" s="1">
        <v>1</v>
      </c>
      <c r="BF117" s="1">
        <v>1</v>
      </c>
      <c r="BG117" s="1">
        <v>1</v>
      </c>
      <c r="BH117" s="43" cm="1">
        <f t="array" ref="BH117">SUMPRODUCT(--((T_MEDIDAS[[#This Row],[Centros de salud o asistencia social]:[Escuelas / Centros de educación]] + $AZ$15:$BF$15)&gt;0))</f>
        <v>7</v>
      </c>
      <c r="BI117" s="1">
        <v>0</v>
      </c>
      <c r="BJ117" s="1">
        <v>0</v>
      </c>
      <c r="BK117" s="1">
        <v>3</v>
      </c>
      <c r="BL117" s="1">
        <v>2</v>
      </c>
      <c r="BM117" s="1">
        <v>3</v>
      </c>
      <c r="BN117" s="1">
        <v>2</v>
      </c>
      <c r="BO117" s="1">
        <v>3</v>
      </c>
      <c r="BP117" s="1">
        <v>3</v>
      </c>
      <c r="BQ117" s="47" cm="1">
        <f t="array" ref="BQ117">T_MEDIDAS[[#This Row],[Aplicación tamaño]]*(SUMPRODUCT(T_MEDIDAS[[#This Row],[C1_Refrigeración]:[C8_Tiempo]],TRANSPOSE('2.PONDERACIÓN'!$L$13:$L$20))+(ROW(C117)-ROW($C$18)+1)*0.0000000001)*100</f>
        <v>200.000001</v>
      </c>
      <c r="BR117" s="84"/>
      <c r="BS117" s="90"/>
    </row>
    <row r="118" spans="1:71" ht="43.5" hidden="1">
      <c r="A118" s="84"/>
      <c r="B118" s="90"/>
      <c r="C118" s="84"/>
      <c r="D118" s="43">
        <f>IF(T_MEDIDAS[[#This Row],[Peso Criterios]]&lt;=0,"",_xlfn.RANK.EQ(T_MEDIDAS[[#This Row],[Peso Criterios]],T_MEDIDAS[Peso Criterios]))</f>
        <v>18</v>
      </c>
      <c r="E118" s="116" t="s">
        <v>357</v>
      </c>
      <c r="F118" s="117" t="s">
        <v>72</v>
      </c>
      <c r="G118" s="126" t="s">
        <v>56</v>
      </c>
      <c r="H118" s="126" t="s">
        <v>273</v>
      </c>
      <c r="I118" s="126" t="s">
        <v>358</v>
      </c>
      <c r="J118" s="126"/>
      <c r="K118" s="120">
        <v>1</v>
      </c>
      <c r="L118" s="19"/>
      <c r="M118" s="19"/>
      <c r="N118" s="121" t="str">
        <f t="shared" si="6"/>
        <v>€</v>
      </c>
      <c r="O118" s="122"/>
      <c r="P118" s="122"/>
      <c r="Q118" s="20">
        <v>1</v>
      </c>
      <c r="R118" s="122">
        <v>1</v>
      </c>
      <c r="S118" s="34" t="str">
        <f>IF(T_MEDIDAS[[#This Row],[No risk (0)]]=1,"■","")</f>
        <v/>
      </c>
      <c r="T118" s="35" t="str">
        <f>IF(T_MEDIDAS[[#This Row],[Low risk (1)]]=1,"■","")</f>
        <v/>
      </c>
      <c r="U118" s="36" t="str">
        <f>IF(T_MEDIDAS[[#This Row],[Medidaium risk (2)]]=1,"■","")</f>
        <v>■</v>
      </c>
      <c r="V118" s="81" t="str">
        <f>IF(T_MEDIDAS[[#This Row],[High risk (3)]]=1,"■","")</f>
        <v>■</v>
      </c>
      <c r="W118" s="19" t="str">
        <f t="shared" si="7"/>
        <v>4. Alto (Rojo)</v>
      </c>
      <c r="X118" s="19">
        <f>COUNT(T_MEDIDAS[[#This Row],[Edificios públicos]:[Coordinación]])</f>
        <v>1</v>
      </c>
      <c r="Y118" s="19"/>
      <c r="Z118" s="19" t="str">
        <f>IF(T_MEDIDAS[[#This Row],[Edificios públicos]]=1,"Si","No")</f>
        <v>No</v>
      </c>
      <c r="AA118" s="19">
        <v>1</v>
      </c>
      <c r="AB118" s="19" t="str">
        <f>IF(T_MEDIDAS[[#This Row],[Planificación urbana]]=1,"Si","No")</f>
        <v>Si</v>
      </c>
      <c r="AC118" s="19"/>
      <c r="AD118" s="19" t="str">
        <f>IF(T_MEDIDAS[[#This Row],[Cultura y deportes]],"Si","No")</f>
        <v>No</v>
      </c>
      <c r="AE118" s="19"/>
      <c r="AF118" s="19" t="str">
        <f>IF(T_MEDIDAS[[#This Row],[Turismo]],"Si","No")</f>
        <v>No</v>
      </c>
      <c r="AG118" s="19"/>
      <c r="AH118" s="19" t="str">
        <f>IF(T_MEDIDAS[[#This Row],[Riesgos laborales]],"Si","No")</f>
        <v>No</v>
      </c>
      <c r="AI118" s="19"/>
      <c r="AJ118" s="19" t="str">
        <f>IF(T_MEDIDAS[[#This Row],[Educación]],"Si","No")</f>
        <v>No</v>
      </c>
      <c r="AK118" s="19"/>
      <c r="AL118" s="19" t="str">
        <f>IF(T_MEDIDAS[[#This Row],[Servicios sociales]],"Si","No")</f>
        <v>No</v>
      </c>
      <c r="AM118" s="19"/>
      <c r="AN118" s="19" t="str">
        <f>IF(T_MEDIDAS[[#This Row],[Servicios de emergencia y policía]],"Si","No")</f>
        <v>No</v>
      </c>
      <c r="AO118" s="19"/>
      <c r="AP118" s="19" t="str">
        <f>IF(T_MEDIDAS[[#This Row],[Parques y jardines]],"Si","No")</f>
        <v>No</v>
      </c>
      <c r="AQ118" s="19"/>
      <c r="AR118" s="19" t="str">
        <f>IF(T_MEDIDAS[[#This Row],[Transporte]],"Si","No")</f>
        <v>No</v>
      </c>
      <c r="AS118" s="125"/>
      <c r="AT118" s="1" t="str">
        <f>IF(T_MEDIDAS[[#This Row],[Coordinación]],"Si","No")</f>
        <v>No</v>
      </c>
      <c r="AU118" s="2">
        <v>1</v>
      </c>
      <c r="AV118" s="1">
        <v>1</v>
      </c>
      <c r="AW118" s="1">
        <v>1</v>
      </c>
      <c r="AX118" s="1">
        <v>1</v>
      </c>
      <c r="AY118" s="3">
        <v>1</v>
      </c>
      <c r="AZ118" s="43">
        <f>SUMPRODUCT($AT$15:$AX$15,T_MEDIDAS[[#This Row],[&lt;5.000]:[&gt;100.000]])</f>
        <v>1</v>
      </c>
      <c r="BA118" s="1">
        <v>1</v>
      </c>
      <c r="BB118" s="1">
        <v>1</v>
      </c>
      <c r="BC118" s="1">
        <v>1</v>
      </c>
      <c r="BD118" s="1">
        <v>1</v>
      </c>
      <c r="BE118" s="1">
        <v>1</v>
      </c>
      <c r="BF118" s="1">
        <v>1</v>
      </c>
      <c r="BG118" s="1">
        <v>1</v>
      </c>
      <c r="BH118" s="43" cm="1">
        <f t="array" ref="BH118">SUMPRODUCT(--((T_MEDIDAS[[#This Row],[Centros de salud o asistencia social]:[Escuelas / Centros de educación]] + $AZ$15:$BF$15)&gt;0))</f>
        <v>7</v>
      </c>
      <c r="BI118" s="44">
        <v>0</v>
      </c>
      <c r="BJ118" s="44">
        <v>0</v>
      </c>
      <c r="BK118" s="44">
        <v>3</v>
      </c>
      <c r="BL118" s="44">
        <v>2</v>
      </c>
      <c r="BM118" s="44">
        <v>3</v>
      </c>
      <c r="BN118" s="44">
        <v>2</v>
      </c>
      <c r="BO118" s="44">
        <v>3</v>
      </c>
      <c r="BP118" s="44">
        <v>3</v>
      </c>
      <c r="BQ118" s="47" cm="1">
        <f t="array" ref="BQ118">T_MEDIDAS[[#This Row],[Aplicación tamaño]]*(SUMPRODUCT(T_MEDIDAS[[#This Row],[C1_Refrigeración]:[C8_Tiempo]],TRANSPOSE('2.PONDERACIÓN'!$L$13:$L$20))+(ROW(C118)-ROW($C$18)+1)*0.0000000001)*100</f>
        <v>200.00000101000001</v>
      </c>
      <c r="BR118" s="84"/>
      <c r="BS118" s="90"/>
    </row>
    <row r="119" spans="1:71" ht="43.5" hidden="1">
      <c r="A119" s="84"/>
      <c r="B119" s="90"/>
      <c r="C119" s="84"/>
      <c r="D119" s="43">
        <f>IF(T_MEDIDAS[[#This Row],[Peso Criterios]]&lt;=0,"",_xlfn.RANK.EQ(T_MEDIDAS[[#This Row],[Peso Criterios]],T_MEDIDAS[Peso Criterios]))</f>
        <v>85</v>
      </c>
      <c r="E119" s="116" t="s">
        <v>359</v>
      </c>
      <c r="F119" s="117" t="s">
        <v>72</v>
      </c>
      <c r="G119" s="126" t="s">
        <v>47</v>
      </c>
      <c r="H119" s="126" t="s">
        <v>157</v>
      </c>
      <c r="I119" s="126" t="s">
        <v>360</v>
      </c>
      <c r="J119" s="126"/>
      <c r="K119" s="120">
        <v>1</v>
      </c>
      <c r="L119" s="19"/>
      <c r="M119" s="19"/>
      <c r="N119" s="121" t="str">
        <f t="shared" si="6"/>
        <v>€</v>
      </c>
      <c r="O119" s="122"/>
      <c r="P119" s="122"/>
      <c r="Q119" s="20">
        <v>1</v>
      </c>
      <c r="R119" s="122">
        <v>1</v>
      </c>
      <c r="S119" s="34" t="str">
        <f>IF(T_MEDIDAS[[#This Row],[No risk (0)]]=1,"■","")</f>
        <v/>
      </c>
      <c r="T119" s="35" t="str">
        <f>IF(T_MEDIDAS[[#This Row],[Low risk (1)]]=1,"■","")</f>
        <v/>
      </c>
      <c r="U119" s="36" t="str">
        <f>IF(T_MEDIDAS[[#This Row],[Medidaium risk (2)]]=1,"■","")</f>
        <v>■</v>
      </c>
      <c r="V119" s="81" t="str">
        <f>IF(T_MEDIDAS[[#This Row],[High risk (3)]]=1,"■","")</f>
        <v>■</v>
      </c>
      <c r="W119" s="19" t="str">
        <f t="shared" si="7"/>
        <v>4. Alto (Rojo)</v>
      </c>
      <c r="X119" s="19">
        <f>COUNT(T_MEDIDAS[[#This Row],[Edificios públicos]:[Coordinación]])</f>
        <v>1</v>
      </c>
      <c r="Y119" s="19"/>
      <c r="Z119" s="19" t="str">
        <f>IF(T_MEDIDAS[[#This Row],[Edificios públicos]]=1,"Si","No")</f>
        <v>No</v>
      </c>
      <c r="AA119" s="19">
        <v>1</v>
      </c>
      <c r="AB119" s="19" t="str">
        <f>IF(T_MEDIDAS[[#This Row],[Planificación urbana]]=1,"Si","No")</f>
        <v>Si</v>
      </c>
      <c r="AC119" s="19"/>
      <c r="AD119" s="19" t="str">
        <f>IF(T_MEDIDAS[[#This Row],[Cultura y deportes]],"Si","No")</f>
        <v>No</v>
      </c>
      <c r="AE119" s="19"/>
      <c r="AF119" s="19" t="str">
        <f>IF(T_MEDIDAS[[#This Row],[Turismo]],"Si","No")</f>
        <v>No</v>
      </c>
      <c r="AG119" s="19"/>
      <c r="AH119" s="19" t="str">
        <f>IF(T_MEDIDAS[[#This Row],[Riesgos laborales]],"Si","No")</f>
        <v>No</v>
      </c>
      <c r="AI119" s="19"/>
      <c r="AJ119" s="19" t="str">
        <f>IF(T_MEDIDAS[[#This Row],[Educación]],"Si","No")</f>
        <v>No</v>
      </c>
      <c r="AK119" s="19"/>
      <c r="AL119" s="19" t="str">
        <f>IF(T_MEDIDAS[[#This Row],[Servicios sociales]],"Si","No")</f>
        <v>No</v>
      </c>
      <c r="AM119" s="19"/>
      <c r="AN119" s="19" t="str">
        <f>IF(T_MEDIDAS[[#This Row],[Servicios de emergencia y policía]],"Si","No")</f>
        <v>No</v>
      </c>
      <c r="AO119" s="19"/>
      <c r="AP119" s="19" t="str">
        <f>IF(T_MEDIDAS[[#This Row],[Parques y jardines]],"Si","No")</f>
        <v>No</v>
      </c>
      <c r="AQ119" s="19"/>
      <c r="AR119" s="19" t="str">
        <f>IF(T_MEDIDAS[[#This Row],[Transporte]],"Si","No")</f>
        <v>No</v>
      </c>
      <c r="AS119" s="125"/>
      <c r="AT119" s="1" t="str">
        <f>IF(T_MEDIDAS[[#This Row],[Coordinación]],"Si","No")</f>
        <v>No</v>
      </c>
      <c r="AU119" s="2">
        <v>1</v>
      </c>
      <c r="AV119" s="1">
        <v>1</v>
      </c>
      <c r="AW119" s="1">
        <v>1</v>
      </c>
      <c r="AX119" s="1">
        <v>1</v>
      </c>
      <c r="AY119" s="3">
        <v>1</v>
      </c>
      <c r="AZ119" s="43">
        <f>SUMPRODUCT($AT$15:$AX$15,T_MEDIDAS[[#This Row],[&lt;5.000]:[&gt;100.000]])</f>
        <v>1</v>
      </c>
      <c r="BA119" s="1">
        <v>1</v>
      </c>
      <c r="BB119" s="1">
        <v>1</v>
      </c>
      <c r="BC119" s="1">
        <v>1</v>
      </c>
      <c r="BD119" s="1">
        <v>1</v>
      </c>
      <c r="BE119" s="1">
        <v>1</v>
      </c>
      <c r="BF119" s="1">
        <v>1</v>
      </c>
      <c r="BG119" s="1">
        <v>1</v>
      </c>
      <c r="BH119" s="43" cm="1">
        <f t="array" ref="BH119">SUMPRODUCT(--((T_MEDIDAS[[#This Row],[Centros de salud o asistencia social]:[Escuelas / Centros de educación]] + $AZ$15:$BF$15)&gt;0))</f>
        <v>7</v>
      </c>
      <c r="BI119" s="1">
        <v>0</v>
      </c>
      <c r="BJ119" s="1">
        <v>0</v>
      </c>
      <c r="BK119" s="1">
        <v>2</v>
      </c>
      <c r="BL119" s="1">
        <v>2</v>
      </c>
      <c r="BM119" s="1">
        <v>2</v>
      </c>
      <c r="BN119" s="1">
        <v>2</v>
      </c>
      <c r="BO119" s="1">
        <v>3</v>
      </c>
      <c r="BP119" s="1">
        <v>3</v>
      </c>
      <c r="BQ119" s="47" cm="1">
        <f t="array" ref="BQ119">T_MEDIDAS[[#This Row],[Aplicación tamaño]]*(SUMPRODUCT(T_MEDIDAS[[#This Row],[C1_Refrigeración]:[C8_Tiempo]],TRANSPOSE('2.PONDERACIÓN'!$L$13:$L$20))+(ROW(C119)-ROW($C$18)+1)*0.0000000001)*100</f>
        <v>175.00000101999998</v>
      </c>
      <c r="BR119" s="84"/>
      <c r="BS119" s="90"/>
    </row>
    <row r="120" spans="1:71" ht="34.5" hidden="1">
      <c r="A120" s="84"/>
      <c r="B120" s="90"/>
      <c r="C120" s="84"/>
      <c r="D120" s="43">
        <f>IF(T_MEDIDAS[[#This Row],[Peso Criterios]]&lt;=0,"",_xlfn.RANK.EQ(T_MEDIDAS[[#This Row],[Peso Criterios]],T_MEDIDAS[Peso Criterios]))</f>
        <v>61</v>
      </c>
      <c r="E120" s="116" t="s">
        <v>361</v>
      </c>
      <c r="F120" s="117" t="s">
        <v>72</v>
      </c>
      <c r="G120" s="126" t="s">
        <v>50</v>
      </c>
      <c r="H120" s="126" t="s">
        <v>160</v>
      </c>
      <c r="I120" s="126" t="s">
        <v>362</v>
      </c>
      <c r="J120" s="126"/>
      <c r="K120" s="120">
        <v>1</v>
      </c>
      <c r="L120" s="19"/>
      <c r="M120" s="19"/>
      <c r="N120" s="121" t="str">
        <f t="shared" si="6"/>
        <v>€</v>
      </c>
      <c r="O120" s="122"/>
      <c r="P120" s="122">
        <v>1</v>
      </c>
      <c r="Q120" s="20">
        <v>1</v>
      </c>
      <c r="R120" s="122">
        <v>1</v>
      </c>
      <c r="S120" s="34" t="str">
        <f>IF(T_MEDIDAS[[#This Row],[No risk (0)]]=1,"■","")</f>
        <v/>
      </c>
      <c r="T120" s="35" t="str">
        <f>IF(T_MEDIDAS[[#This Row],[Low risk (1)]]=1,"■","")</f>
        <v>■</v>
      </c>
      <c r="U120" s="36" t="str">
        <f>IF(T_MEDIDAS[[#This Row],[Medidaium risk (2)]]=1,"■","")</f>
        <v>■</v>
      </c>
      <c r="V120" s="81" t="str">
        <f>IF(T_MEDIDAS[[#This Row],[High risk (3)]]=1,"■","")</f>
        <v>■</v>
      </c>
      <c r="W120" s="19" t="str">
        <f t="shared" si="7"/>
        <v>4. Alto (Rojo)</v>
      </c>
      <c r="X120" s="19">
        <f>COUNT(T_MEDIDAS[[#This Row],[Edificios públicos]:[Coordinación]])</f>
        <v>1</v>
      </c>
      <c r="Y120" s="19"/>
      <c r="Z120" s="19" t="str">
        <f>IF(T_MEDIDAS[[#This Row],[Edificios públicos]]=1,"Si","No")</f>
        <v>No</v>
      </c>
      <c r="AA120" s="19"/>
      <c r="AB120" s="19" t="str">
        <f>IF(T_MEDIDAS[[#This Row],[Planificación urbana]]=1,"Si","No")</f>
        <v>No</v>
      </c>
      <c r="AC120" s="19"/>
      <c r="AD120" s="19" t="str">
        <f>IF(T_MEDIDAS[[#This Row],[Cultura y deportes]],"Si","No")</f>
        <v>No</v>
      </c>
      <c r="AE120" s="19"/>
      <c r="AF120" s="19" t="str">
        <f>IF(T_MEDIDAS[[#This Row],[Turismo]],"Si","No")</f>
        <v>No</v>
      </c>
      <c r="AG120" s="19"/>
      <c r="AH120" s="19" t="str">
        <f>IF(T_MEDIDAS[[#This Row],[Riesgos laborales]],"Si","No")</f>
        <v>No</v>
      </c>
      <c r="AI120" s="19"/>
      <c r="AJ120" s="19" t="str">
        <f>IF(T_MEDIDAS[[#This Row],[Educación]],"Si","No")</f>
        <v>No</v>
      </c>
      <c r="AK120" s="19">
        <v>1</v>
      </c>
      <c r="AL120" s="19" t="str">
        <f>IF(T_MEDIDAS[[#This Row],[Servicios sociales]],"Si","No")</f>
        <v>Si</v>
      </c>
      <c r="AM120" s="19"/>
      <c r="AN120" s="19" t="str">
        <f>IF(T_MEDIDAS[[#This Row],[Servicios de emergencia y policía]],"Si","No")</f>
        <v>No</v>
      </c>
      <c r="AO120" s="19"/>
      <c r="AP120" s="19" t="str">
        <f>IF(T_MEDIDAS[[#This Row],[Parques y jardines]],"Si","No")</f>
        <v>No</v>
      </c>
      <c r="AQ120" s="19"/>
      <c r="AR120" s="19" t="str">
        <f>IF(T_MEDIDAS[[#This Row],[Transporte]],"Si","No")</f>
        <v>No</v>
      </c>
      <c r="AS120" s="125"/>
      <c r="AT120" s="1" t="str">
        <f>IF(T_MEDIDAS[[#This Row],[Coordinación]],"Si","No")</f>
        <v>No</v>
      </c>
      <c r="AU120" s="2">
        <v>1</v>
      </c>
      <c r="AV120" s="1">
        <v>1</v>
      </c>
      <c r="AW120" s="1">
        <v>1</v>
      </c>
      <c r="AX120" s="1">
        <v>1</v>
      </c>
      <c r="AY120" s="3">
        <v>1</v>
      </c>
      <c r="AZ120" s="43">
        <f>SUMPRODUCT($AT$15:$AX$15,T_MEDIDAS[[#This Row],[&lt;5.000]:[&gt;100.000]])</f>
        <v>1</v>
      </c>
      <c r="BA120" s="1">
        <v>1</v>
      </c>
      <c r="BB120" s="1">
        <v>1</v>
      </c>
      <c r="BC120" s="1">
        <v>1</v>
      </c>
      <c r="BD120" s="1">
        <v>1</v>
      </c>
      <c r="BE120" s="1">
        <v>1</v>
      </c>
      <c r="BF120" s="1">
        <v>1</v>
      </c>
      <c r="BG120" s="1">
        <v>1</v>
      </c>
      <c r="BH120" s="43" cm="1">
        <f t="array" ref="BH120">SUMPRODUCT(--((T_MEDIDAS[[#This Row],[Centros de salud o asistencia social]:[Escuelas / Centros de educación]] + $AZ$15:$BF$15)&gt;0))</f>
        <v>7</v>
      </c>
      <c r="BI120" s="44">
        <v>0</v>
      </c>
      <c r="BJ120" s="44">
        <v>0</v>
      </c>
      <c r="BK120" s="44">
        <v>3</v>
      </c>
      <c r="BL120" s="44">
        <v>2</v>
      </c>
      <c r="BM120" s="44">
        <v>2</v>
      </c>
      <c r="BN120" s="44">
        <v>2</v>
      </c>
      <c r="BO120" s="44">
        <v>3</v>
      </c>
      <c r="BP120" s="44">
        <v>3</v>
      </c>
      <c r="BQ120" s="47" cm="1">
        <f t="array" ref="BQ120">T_MEDIDAS[[#This Row],[Aplicación tamaño]]*(SUMPRODUCT(T_MEDIDAS[[#This Row],[C1_Refrigeración]:[C8_Tiempo]],TRANSPOSE('2.PONDERACIÓN'!$L$13:$L$20))+(ROW(C120)-ROW($C$18)+1)*0.0000000001)*100</f>
        <v>187.50000102999999</v>
      </c>
      <c r="BR120" s="84"/>
      <c r="BS120" s="90"/>
    </row>
    <row r="121" spans="1:71" ht="34.5" hidden="1">
      <c r="A121" s="84"/>
      <c r="B121" s="90"/>
      <c r="C121" s="84"/>
      <c r="D121" s="43">
        <f>IF(T_MEDIDAS[[#This Row],[Peso Criterios]]&lt;=0,"",_xlfn.RANK.EQ(T_MEDIDAS[[#This Row],[Peso Criterios]],T_MEDIDAS[Peso Criterios]))</f>
        <v>109</v>
      </c>
      <c r="E121" s="116" t="s">
        <v>363</v>
      </c>
      <c r="F121" s="117" t="s">
        <v>72</v>
      </c>
      <c r="G121" s="126" t="s">
        <v>50</v>
      </c>
      <c r="H121" s="126" t="s">
        <v>151</v>
      </c>
      <c r="I121" s="126" t="s">
        <v>364</v>
      </c>
      <c r="J121" s="126"/>
      <c r="K121" s="120"/>
      <c r="L121" s="19">
        <v>1</v>
      </c>
      <c r="M121" s="19"/>
      <c r="N121" s="121" t="str">
        <f t="shared" si="6"/>
        <v>€€</v>
      </c>
      <c r="O121" s="122"/>
      <c r="P121" s="122"/>
      <c r="Q121" s="20">
        <v>1</v>
      </c>
      <c r="R121" s="122">
        <v>1</v>
      </c>
      <c r="S121" s="34" t="str">
        <f>IF(T_MEDIDAS[[#This Row],[No risk (0)]]=1,"■","")</f>
        <v/>
      </c>
      <c r="T121" s="35" t="str">
        <f>IF(T_MEDIDAS[[#This Row],[Low risk (1)]]=1,"■","")</f>
        <v/>
      </c>
      <c r="U121" s="36" t="str">
        <f>IF(T_MEDIDAS[[#This Row],[Medidaium risk (2)]]=1,"■","")</f>
        <v>■</v>
      </c>
      <c r="V121" s="81" t="str">
        <f>IF(T_MEDIDAS[[#This Row],[High risk (3)]]=1,"■","")</f>
        <v>■</v>
      </c>
      <c r="W121" s="19" t="str">
        <f t="shared" si="7"/>
        <v>4. Alto (Rojo)</v>
      </c>
      <c r="X121" s="19">
        <f>COUNT(T_MEDIDAS[[#This Row],[Edificios públicos]:[Coordinación]])</f>
        <v>1</v>
      </c>
      <c r="Y121" s="19"/>
      <c r="Z121" s="19" t="str">
        <f>IF(T_MEDIDAS[[#This Row],[Edificios públicos]]=1,"Si","No")</f>
        <v>No</v>
      </c>
      <c r="AA121" s="19"/>
      <c r="AB121" s="19" t="str">
        <f>IF(T_MEDIDAS[[#This Row],[Planificación urbana]]=1,"Si","No")</f>
        <v>No</v>
      </c>
      <c r="AC121" s="19"/>
      <c r="AD121" s="19" t="str">
        <f>IF(T_MEDIDAS[[#This Row],[Cultura y deportes]],"Si","No")</f>
        <v>No</v>
      </c>
      <c r="AE121" s="19"/>
      <c r="AF121" s="19" t="str">
        <f>IF(T_MEDIDAS[[#This Row],[Turismo]],"Si","No")</f>
        <v>No</v>
      </c>
      <c r="AG121" s="19">
        <v>1</v>
      </c>
      <c r="AH121" s="19" t="str">
        <f>IF(T_MEDIDAS[[#This Row],[Riesgos laborales]],"Si","No")</f>
        <v>Si</v>
      </c>
      <c r="AI121" s="19"/>
      <c r="AJ121" s="19" t="str">
        <f>IF(T_MEDIDAS[[#This Row],[Educación]],"Si","No")</f>
        <v>No</v>
      </c>
      <c r="AK121" s="19"/>
      <c r="AL121" s="19" t="str">
        <f>IF(T_MEDIDAS[[#This Row],[Servicios sociales]],"Si","No")</f>
        <v>No</v>
      </c>
      <c r="AM121" s="19"/>
      <c r="AN121" s="19" t="str">
        <f>IF(T_MEDIDAS[[#This Row],[Servicios de emergencia y policía]],"Si","No")</f>
        <v>No</v>
      </c>
      <c r="AO121" s="19"/>
      <c r="AP121" s="19" t="str">
        <f>IF(T_MEDIDAS[[#This Row],[Parques y jardines]],"Si","No")</f>
        <v>No</v>
      </c>
      <c r="AQ121" s="19"/>
      <c r="AR121" s="19" t="str">
        <f>IF(T_MEDIDAS[[#This Row],[Transporte]],"Si","No")</f>
        <v>No</v>
      </c>
      <c r="AS121" s="125"/>
      <c r="AT121" s="1" t="str">
        <f>IF(T_MEDIDAS[[#This Row],[Coordinación]],"Si","No")</f>
        <v>No</v>
      </c>
      <c r="AU121" s="2">
        <v>1</v>
      </c>
      <c r="AV121" s="1">
        <v>1</v>
      </c>
      <c r="AW121" s="1">
        <v>1</v>
      </c>
      <c r="AX121" s="1">
        <v>1</v>
      </c>
      <c r="AY121" s="3">
        <v>1</v>
      </c>
      <c r="AZ121" s="43">
        <f>SUMPRODUCT($AT$15:$AX$15,T_MEDIDAS[[#This Row],[&lt;5.000]:[&gt;100.000]])</f>
        <v>1</v>
      </c>
      <c r="BA121" s="1">
        <v>1</v>
      </c>
      <c r="BB121" s="1">
        <v>1</v>
      </c>
      <c r="BC121" s="1">
        <v>1</v>
      </c>
      <c r="BD121" s="1">
        <v>1</v>
      </c>
      <c r="BE121" s="1">
        <v>1</v>
      </c>
      <c r="BF121" s="1">
        <v>1</v>
      </c>
      <c r="BG121" s="1">
        <v>1</v>
      </c>
      <c r="BH121" s="43" cm="1">
        <f t="array" ref="BH121">SUMPRODUCT(--((T_MEDIDAS[[#This Row],[Centros de salud o asistencia social]:[Escuelas / Centros de educación]] + $AZ$15:$BF$15)&gt;0))</f>
        <v>7</v>
      </c>
      <c r="BI121" s="1">
        <v>0</v>
      </c>
      <c r="BJ121" s="1">
        <v>0</v>
      </c>
      <c r="BK121" s="1">
        <v>2</v>
      </c>
      <c r="BL121" s="1">
        <v>2</v>
      </c>
      <c r="BM121" s="1">
        <v>2</v>
      </c>
      <c r="BN121" s="1">
        <v>2</v>
      </c>
      <c r="BO121" s="1">
        <v>2</v>
      </c>
      <c r="BP121" s="1">
        <v>3</v>
      </c>
      <c r="BQ121" s="47" cm="1">
        <f t="array" ref="BQ121">T_MEDIDAS[[#This Row],[Aplicación tamaño]]*(SUMPRODUCT(T_MEDIDAS[[#This Row],[C1_Refrigeración]:[C8_Tiempo]],TRANSPOSE('2.PONDERACIÓN'!$L$13:$L$20))+(ROW(C121)-ROW($C$18)+1)*0.0000000001)*100</f>
        <v>162.50000104</v>
      </c>
      <c r="BR121" s="84"/>
      <c r="BS121" s="90"/>
    </row>
    <row r="122" spans="1:71" ht="34.5" hidden="1">
      <c r="A122" s="84"/>
      <c r="B122" s="90"/>
      <c r="C122" s="84"/>
      <c r="D122" s="43">
        <f>IF(T_MEDIDAS[[#This Row],[Peso Criterios]]&lt;=0,"",_xlfn.RANK.EQ(T_MEDIDAS[[#This Row],[Peso Criterios]],T_MEDIDAS[Peso Criterios]))</f>
        <v>136</v>
      </c>
      <c r="E122" s="116" t="s">
        <v>365</v>
      </c>
      <c r="F122" s="117" t="s">
        <v>72</v>
      </c>
      <c r="G122" s="126" t="s">
        <v>47</v>
      </c>
      <c r="H122" s="126" t="s">
        <v>157</v>
      </c>
      <c r="I122" s="126" t="s">
        <v>366</v>
      </c>
      <c r="J122" s="126"/>
      <c r="K122" s="120"/>
      <c r="L122" s="19">
        <v>1</v>
      </c>
      <c r="M122" s="19"/>
      <c r="N122" s="121" t="str">
        <f t="shared" si="6"/>
        <v>€€</v>
      </c>
      <c r="O122" s="122"/>
      <c r="P122" s="122"/>
      <c r="Q122" s="20">
        <v>1</v>
      </c>
      <c r="R122" s="122">
        <v>1</v>
      </c>
      <c r="S122" s="34" t="str">
        <f>IF(T_MEDIDAS[[#This Row],[No risk (0)]]=1,"■","")</f>
        <v/>
      </c>
      <c r="T122" s="35" t="str">
        <f>IF(T_MEDIDAS[[#This Row],[Low risk (1)]]=1,"■","")</f>
        <v/>
      </c>
      <c r="U122" s="36" t="str">
        <f>IF(T_MEDIDAS[[#This Row],[Medidaium risk (2)]]=1,"■","")</f>
        <v>■</v>
      </c>
      <c r="V122" s="81" t="str">
        <f>IF(T_MEDIDAS[[#This Row],[High risk (3)]]=1,"■","")</f>
        <v>■</v>
      </c>
      <c r="W122" s="19" t="str">
        <f t="shared" si="7"/>
        <v>4. Alto (Rojo)</v>
      </c>
      <c r="X122" s="19">
        <f>COUNT(T_MEDIDAS[[#This Row],[Edificios públicos]:[Coordinación]])</f>
        <v>1</v>
      </c>
      <c r="Y122" s="19"/>
      <c r="Z122" s="19" t="str">
        <f>IF(T_MEDIDAS[[#This Row],[Edificios públicos]]=1,"Si","No")</f>
        <v>No</v>
      </c>
      <c r="AA122" s="19"/>
      <c r="AB122" s="19" t="str">
        <f>IF(T_MEDIDAS[[#This Row],[Planificación urbana]]=1,"Si","No")</f>
        <v>No</v>
      </c>
      <c r="AC122" s="19"/>
      <c r="AD122" s="19" t="str">
        <f>IF(T_MEDIDAS[[#This Row],[Cultura y deportes]],"Si","No")</f>
        <v>No</v>
      </c>
      <c r="AE122" s="19"/>
      <c r="AF122" s="19" t="str">
        <f>IF(T_MEDIDAS[[#This Row],[Turismo]],"Si","No")</f>
        <v>No</v>
      </c>
      <c r="AG122" s="19">
        <v>1</v>
      </c>
      <c r="AH122" s="19" t="str">
        <f>IF(T_MEDIDAS[[#This Row],[Riesgos laborales]],"Si","No")</f>
        <v>Si</v>
      </c>
      <c r="AI122" s="19"/>
      <c r="AJ122" s="19" t="str">
        <f>IF(T_MEDIDAS[[#This Row],[Educación]],"Si","No")</f>
        <v>No</v>
      </c>
      <c r="AK122" s="19"/>
      <c r="AL122" s="19" t="str">
        <f>IF(T_MEDIDAS[[#This Row],[Servicios sociales]],"Si","No")</f>
        <v>No</v>
      </c>
      <c r="AM122" s="19"/>
      <c r="AN122" s="19" t="str">
        <f>IF(T_MEDIDAS[[#This Row],[Servicios de emergencia y policía]],"Si","No")</f>
        <v>No</v>
      </c>
      <c r="AO122" s="19"/>
      <c r="AP122" s="19" t="str">
        <f>IF(T_MEDIDAS[[#This Row],[Parques y jardines]],"Si","No")</f>
        <v>No</v>
      </c>
      <c r="AQ122" s="19"/>
      <c r="AR122" s="19" t="str">
        <f>IF(T_MEDIDAS[[#This Row],[Transporte]],"Si","No")</f>
        <v>No</v>
      </c>
      <c r="AS122" s="125"/>
      <c r="AT122" s="1" t="str">
        <f>IF(T_MEDIDAS[[#This Row],[Coordinación]],"Si","No")</f>
        <v>No</v>
      </c>
      <c r="AU122" s="2">
        <v>1</v>
      </c>
      <c r="AV122" s="1">
        <v>1</v>
      </c>
      <c r="AW122" s="1">
        <v>1</v>
      </c>
      <c r="AX122" s="1">
        <v>1</v>
      </c>
      <c r="AY122" s="3">
        <v>1</v>
      </c>
      <c r="AZ122" s="43">
        <f>SUMPRODUCT($AT$15:$AX$15,T_MEDIDAS[[#This Row],[&lt;5.000]:[&gt;100.000]])</f>
        <v>1</v>
      </c>
      <c r="BA122" s="1">
        <v>1</v>
      </c>
      <c r="BB122" s="1">
        <v>1</v>
      </c>
      <c r="BC122" s="1">
        <v>1</v>
      </c>
      <c r="BD122" s="1">
        <v>1</v>
      </c>
      <c r="BE122" s="1">
        <v>1</v>
      </c>
      <c r="BF122" s="1">
        <v>1</v>
      </c>
      <c r="BG122" s="1">
        <v>1</v>
      </c>
      <c r="BH122" s="43" cm="1">
        <f t="array" ref="BH122">SUMPRODUCT(--((T_MEDIDAS[[#This Row],[Centros de salud o asistencia social]:[Escuelas / Centros de educación]] + $AZ$15:$BF$15)&gt;0))</f>
        <v>7</v>
      </c>
      <c r="BI122" s="44">
        <v>0</v>
      </c>
      <c r="BJ122" s="44">
        <v>0</v>
      </c>
      <c r="BK122" s="44">
        <v>2</v>
      </c>
      <c r="BL122" s="44">
        <v>1</v>
      </c>
      <c r="BM122" s="44">
        <v>1</v>
      </c>
      <c r="BN122" s="44">
        <v>1</v>
      </c>
      <c r="BO122" s="44">
        <v>2</v>
      </c>
      <c r="BP122" s="44">
        <v>2</v>
      </c>
      <c r="BQ122" s="47" cm="1">
        <f t="array" ref="BQ122">T_MEDIDAS[[#This Row],[Aplicación tamaño]]*(SUMPRODUCT(T_MEDIDAS[[#This Row],[C1_Refrigeración]:[C8_Tiempo]],TRANSPOSE('2.PONDERACIÓN'!$L$13:$L$20))+(ROW(C122)-ROW($C$18)+1)*0.0000000001)*100</f>
        <v>112.50000104999999</v>
      </c>
      <c r="BR122" s="84"/>
      <c r="BS122" s="90"/>
    </row>
    <row r="123" spans="1:71" ht="34.5" hidden="1">
      <c r="A123" s="84"/>
      <c r="B123" s="90"/>
      <c r="C123" s="84"/>
      <c r="D123" s="43">
        <f>IF(T_MEDIDAS[[#This Row],[Peso Criterios]]&lt;=0,"",_xlfn.RANK.EQ(T_MEDIDAS[[#This Row],[Peso Criterios]],T_MEDIDAS[Peso Criterios]))</f>
        <v>60</v>
      </c>
      <c r="E123" s="116" t="s">
        <v>367</v>
      </c>
      <c r="F123" s="117" t="s">
        <v>72</v>
      </c>
      <c r="G123" s="126" t="s">
        <v>50</v>
      </c>
      <c r="H123" s="126" t="s">
        <v>151</v>
      </c>
      <c r="I123" s="126" t="s">
        <v>368</v>
      </c>
      <c r="J123" s="126"/>
      <c r="K123" s="120">
        <v>1</v>
      </c>
      <c r="L123" s="19"/>
      <c r="M123" s="19"/>
      <c r="N123" s="121" t="str">
        <f t="shared" si="6"/>
        <v>€</v>
      </c>
      <c r="O123" s="122"/>
      <c r="P123" s="122"/>
      <c r="Q123" s="20">
        <v>1</v>
      </c>
      <c r="R123" s="122">
        <v>1</v>
      </c>
      <c r="S123" s="34" t="str">
        <f>IF(T_MEDIDAS[[#This Row],[No risk (0)]]=1,"■","")</f>
        <v/>
      </c>
      <c r="T123" s="35" t="str">
        <f>IF(T_MEDIDAS[[#This Row],[Low risk (1)]]=1,"■","")</f>
        <v/>
      </c>
      <c r="U123" s="36" t="str">
        <f>IF(T_MEDIDAS[[#This Row],[Medidaium risk (2)]]=1,"■","")</f>
        <v>■</v>
      </c>
      <c r="V123" s="81" t="str">
        <f>IF(T_MEDIDAS[[#This Row],[High risk (3)]]=1,"■","")</f>
        <v>■</v>
      </c>
      <c r="W123" s="19" t="str">
        <f t="shared" si="7"/>
        <v>4. Alto (Rojo)</v>
      </c>
      <c r="X123" s="19">
        <f>COUNT(T_MEDIDAS[[#This Row],[Edificios públicos]:[Coordinación]])</f>
        <v>1</v>
      </c>
      <c r="Y123" s="19"/>
      <c r="Z123" s="19" t="str">
        <f>IF(T_MEDIDAS[[#This Row],[Edificios públicos]]=1,"Si","No")</f>
        <v>No</v>
      </c>
      <c r="AA123" s="19"/>
      <c r="AB123" s="19" t="str">
        <f>IF(T_MEDIDAS[[#This Row],[Planificación urbana]]=1,"Si","No")</f>
        <v>No</v>
      </c>
      <c r="AC123" s="19">
        <v>1</v>
      </c>
      <c r="AD123" s="19" t="str">
        <f>IF(T_MEDIDAS[[#This Row],[Cultura y deportes]],"Si","No")</f>
        <v>Si</v>
      </c>
      <c r="AE123" s="19"/>
      <c r="AF123" s="19" t="str">
        <f>IF(T_MEDIDAS[[#This Row],[Turismo]],"Si","No")</f>
        <v>No</v>
      </c>
      <c r="AG123" s="19"/>
      <c r="AH123" s="19" t="str">
        <f>IF(T_MEDIDAS[[#This Row],[Riesgos laborales]],"Si","No")</f>
        <v>No</v>
      </c>
      <c r="AI123" s="19"/>
      <c r="AJ123" s="19" t="str">
        <f>IF(T_MEDIDAS[[#This Row],[Educación]],"Si","No")</f>
        <v>No</v>
      </c>
      <c r="AK123" s="19"/>
      <c r="AL123" s="19" t="str">
        <f>IF(T_MEDIDAS[[#This Row],[Servicios sociales]],"Si","No")</f>
        <v>No</v>
      </c>
      <c r="AM123" s="19"/>
      <c r="AN123" s="19" t="str">
        <f>IF(T_MEDIDAS[[#This Row],[Servicios de emergencia y policía]],"Si","No")</f>
        <v>No</v>
      </c>
      <c r="AO123" s="19"/>
      <c r="AP123" s="19" t="str">
        <f>IF(T_MEDIDAS[[#This Row],[Parques y jardines]],"Si","No")</f>
        <v>No</v>
      </c>
      <c r="AQ123" s="19"/>
      <c r="AR123" s="19" t="str">
        <f>IF(T_MEDIDAS[[#This Row],[Transporte]],"Si","No")</f>
        <v>No</v>
      </c>
      <c r="AS123" s="125"/>
      <c r="AT123" s="1" t="str">
        <f>IF(T_MEDIDAS[[#This Row],[Coordinación]],"Si","No")</f>
        <v>No</v>
      </c>
      <c r="AU123" s="2">
        <v>1</v>
      </c>
      <c r="AV123" s="1">
        <v>1</v>
      </c>
      <c r="AW123" s="1">
        <v>1</v>
      </c>
      <c r="AX123" s="1">
        <v>1</v>
      </c>
      <c r="AY123" s="3">
        <v>1</v>
      </c>
      <c r="AZ123" s="43">
        <f>SUMPRODUCT($AT$15:$AX$15,T_MEDIDAS[[#This Row],[&lt;5.000]:[&gt;100.000]])</f>
        <v>1</v>
      </c>
      <c r="BA123" s="1">
        <v>1</v>
      </c>
      <c r="BB123" s="1">
        <v>1</v>
      </c>
      <c r="BC123" s="1">
        <v>1</v>
      </c>
      <c r="BD123" s="1">
        <v>1</v>
      </c>
      <c r="BE123" s="1">
        <v>1</v>
      </c>
      <c r="BF123" s="1">
        <v>1</v>
      </c>
      <c r="BG123" s="1">
        <v>1</v>
      </c>
      <c r="BH123" s="43" cm="1">
        <f t="array" ref="BH123">SUMPRODUCT(--((T_MEDIDAS[[#This Row],[Centros de salud o asistencia social]:[Escuelas / Centros de educación]] + $AZ$15:$BF$15)&gt;0))</f>
        <v>7</v>
      </c>
      <c r="BI123" s="1">
        <v>0</v>
      </c>
      <c r="BJ123" s="1">
        <v>0</v>
      </c>
      <c r="BK123" s="1">
        <v>2</v>
      </c>
      <c r="BL123" s="1">
        <v>2</v>
      </c>
      <c r="BM123" s="1">
        <v>3</v>
      </c>
      <c r="BN123" s="1">
        <v>2</v>
      </c>
      <c r="BO123" s="1">
        <v>3</v>
      </c>
      <c r="BP123" s="1">
        <v>3</v>
      </c>
      <c r="BQ123" s="47" cm="1">
        <f t="array" ref="BQ123">T_MEDIDAS[[#This Row],[Aplicación tamaño]]*(SUMPRODUCT(T_MEDIDAS[[#This Row],[C1_Refrigeración]:[C8_Tiempo]],TRANSPOSE('2.PONDERACIÓN'!$L$13:$L$20))+(ROW(C123)-ROW($C$18)+1)*0.0000000001)*100</f>
        <v>187.50000105999999</v>
      </c>
      <c r="BR123" s="84"/>
      <c r="BS123" s="90"/>
    </row>
    <row r="124" spans="1:71" ht="34.5" hidden="1">
      <c r="A124" s="84"/>
      <c r="B124" s="90"/>
      <c r="C124" s="84"/>
      <c r="D124" s="43">
        <f>IF(T_MEDIDAS[[#This Row],[Peso Criterios]]&lt;=0,"",_xlfn.RANK.EQ(T_MEDIDAS[[#This Row],[Peso Criterios]],T_MEDIDAS[Peso Criterios]))</f>
        <v>59</v>
      </c>
      <c r="E124" s="116" t="s">
        <v>369</v>
      </c>
      <c r="F124" s="117" t="s">
        <v>72</v>
      </c>
      <c r="G124" s="126" t="s">
        <v>50</v>
      </c>
      <c r="H124" s="126" t="s">
        <v>151</v>
      </c>
      <c r="I124" s="126" t="s">
        <v>370</v>
      </c>
      <c r="J124" s="126"/>
      <c r="K124" s="120">
        <v>1</v>
      </c>
      <c r="L124" s="19"/>
      <c r="M124" s="19"/>
      <c r="N124" s="121" t="str">
        <f t="shared" si="6"/>
        <v>€</v>
      </c>
      <c r="O124" s="122"/>
      <c r="P124" s="122"/>
      <c r="Q124" s="20">
        <v>1</v>
      </c>
      <c r="R124" s="122">
        <v>1</v>
      </c>
      <c r="S124" s="34" t="str">
        <f>IF(T_MEDIDAS[[#This Row],[No risk (0)]]=1,"■","")</f>
        <v/>
      </c>
      <c r="T124" s="35" t="str">
        <f>IF(T_MEDIDAS[[#This Row],[Low risk (1)]]=1,"■","")</f>
        <v/>
      </c>
      <c r="U124" s="36" t="str">
        <f>IF(T_MEDIDAS[[#This Row],[Medidaium risk (2)]]=1,"■","")</f>
        <v>■</v>
      </c>
      <c r="V124" s="81" t="str">
        <f>IF(T_MEDIDAS[[#This Row],[High risk (3)]]=1,"■","")</f>
        <v>■</v>
      </c>
      <c r="W124" s="19" t="str">
        <f t="shared" si="7"/>
        <v>4. Alto (Rojo)</v>
      </c>
      <c r="X124" s="19">
        <f>COUNT(T_MEDIDAS[[#This Row],[Edificios públicos]:[Coordinación]])</f>
        <v>1</v>
      </c>
      <c r="Y124" s="19"/>
      <c r="Z124" s="19" t="str">
        <f>IF(T_MEDIDAS[[#This Row],[Edificios públicos]]=1,"Si","No")</f>
        <v>No</v>
      </c>
      <c r="AA124" s="19"/>
      <c r="AB124" s="19" t="str">
        <f>IF(T_MEDIDAS[[#This Row],[Planificación urbana]]=1,"Si","No")</f>
        <v>No</v>
      </c>
      <c r="AC124" s="19">
        <v>1</v>
      </c>
      <c r="AD124" s="19" t="str">
        <f>IF(T_MEDIDAS[[#This Row],[Cultura y deportes]],"Si","No")</f>
        <v>Si</v>
      </c>
      <c r="AE124" s="19"/>
      <c r="AF124" s="19" t="str">
        <f>IF(T_MEDIDAS[[#This Row],[Turismo]],"Si","No")</f>
        <v>No</v>
      </c>
      <c r="AG124" s="19"/>
      <c r="AH124" s="19" t="str">
        <f>IF(T_MEDIDAS[[#This Row],[Riesgos laborales]],"Si","No")</f>
        <v>No</v>
      </c>
      <c r="AI124" s="19"/>
      <c r="AJ124" s="19" t="str">
        <f>IF(T_MEDIDAS[[#This Row],[Educación]],"Si","No")</f>
        <v>No</v>
      </c>
      <c r="AK124" s="19"/>
      <c r="AL124" s="19" t="str">
        <f>IF(T_MEDIDAS[[#This Row],[Servicios sociales]],"Si","No")</f>
        <v>No</v>
      </c>
      <c r="AM124" s="19"/>
      <c r="AN124" s="19" t="str">
        <f>IF(T_MEDIDAS[[#This Row],[Servicios de emergencia y policía]],"Si","No")</f>
        <v>No</v>
      </c>
      <c r="AO124" s="19"/>
      <c r="AP124" s="19" t="str">
        <f>IF(T_MEDIDAS[[#This Row],[Parques y jardines]],"Si","No")</f>
        <v>No</v>
      </c>
      <c r="AQ124" s="19"/>
      <c r="AR124" s="19" t="str">
        <f>IF(T_MEDIDAS[[#This Row],[Transporte]],"Si","No")</f>
        <v>No</v>
      </c>
      <c r="AS124" s="125"/>
      <c r="AT124" s="1" t="str">
        <f>IF(T_MEDIDAS[[#This Row],[Coordinación]],"Si","No")</f>
        <v>No</v>
      </c>
      <c r="AU124" s="2">
        <v>1</v>
      </c>
      <c r="AV124" s="1">
        <v>1</v>
      </c>
      <c r="AW124" s="1">
        <v>1</v>
      </c>
      <c r="AX124" s="1">
        <v>1</v>
      </c>
      <c r="AY124" s="3">
        <v>1</v>
      </c>
      <c r="AZ124" s="43">
        <f>SUMPRODUCT($AT$15:$AX$15,T_MEDIDAS[[#This Row],[&lt;5.000]:[&gt;100.000]])</f>
        <v>1</v>
      </c>
      <c r="BA124" s="1">
        <v>1</v>
      </c>
      <c r="BB124" s="1">
        <v>1</v>
      </c>
      <c r="BC124" s="1">
        <v>1</v>
      </c>
      <c r="BD124" s="1">
        <v>1</v>
      </c>
      <c r="BE124" s="1">
        <v>1</v>
      </c>
      <c r="BF124" s="1">
        <v>1</v>
      </c>
      <c r="BG124" s="1">
        <v>1</v>
      </c>
      <c r="BH124" s="43" cm="1">
        <f t="array" ref="BH124">SUMPRODUCT(--((T_MEDIDAS[[#This Row],[Centros de salud o asistencia social]:[Escuelas / Centros de educación]] + $AZ$15:$BF$15)&gt;0))</f>
        <v>7</v>
      </c>
      <c r="BI124" s="44">
        <v>0</v>
      </c>
      <c r="BJ124" s="44">
        <v>0</v>
      </c>
      <c r="BK124" s="44">
        <v>2</v>
      </c>
      <c r="BL124" s="44">
        <v>2</v>
      </c>
      <c r="BM124" s="44">
        <v>3</v>
      </c>
      <c r="BN124" s="44">
        <v>2</v>
      </c>
      <c r="BO124" s="44">
        <v>3</v>
      </c>
      <c r="BP124" s="44">
        <v>3</v>
      </c>
      <c r="BQ124" s="47" cm="1">
        <f t="array" ref="BQ124">T_MEDIDAS[[#This Row],[Aplicación tamaño]]*(SUMPRODUCT(T_MEDIDAS[[#This Row],[C1_Refrigeración]:[C8_Tiempo]],TRANSPOSE('2.PONDERACIÓN'!$L$13:$L$20))+(ROW(C124)-ROW($C$18)+1)*0.0000000001)*100</f>
        <v>187.50000107</v>
      </c>
      <c r="BR124" s="84"/>
      <c r="BS124" s="90"/>
    </row>
    <row r="125" spans="1:71" ht="34.5" hidden="1">
      <c r="A125" s="84"/>
      <c r="B125" s="90"/>
      <c r="C125" s="84"/>
      <c r="D125" s="43">
        <f>IF(T_MEDIDAS[[#This Row],[Peso Criterios]]&lt;=0,"",_xlfn.RANK.EQ(T_MEDIDAS[[#This Row],[Peso Criterios]],T_MEDIDAS[Peso Criterios]))</f>
        <v>58</v>
      </c>
      <c r="E125" s="116" t="s">
        <v>371</v>
      </c>
      <c r="F125" s="117" t="s">
        <v>72</v>
      </c>
      <c r="G125" s="126" t="s">
        <v>50</v>
      </c>
      <c r="H125" s="126" t="s">
        <v>151</v>
      </c>
      <c r="I125" s="126" t="s">
        <v>372</v>
      </c>
      <c r="J125" s="126"/>
      <c r="K125" s="120">
        <v>1</v>
      </c>
      <c r="L125" s="19"/>
      <c r="M125" s="19"/>
      <c r="N125" s="121" t="str">
        <f t="shared" si="6"/>
        <v>€</v>
      </c>
      <c r="O125" s="122"/>
      <c r="P125" s="122"/>
      <c r="Q125" s="20">
        <v>1</v>
      </c>
      <c r="R125" s="122">
        <v>1</v>
      </c>
      <c r="S125" s="34" t="str">
        <f>IF(T_MEDIDAS[[#This Row],[No risk (0)]]=1,"■","")</f>
        <v/>
      </c>
      <c r="T125" s="35" t="str">
        <f>IF(T_MEDIDAS[[#This Row],[Low risk (1)]]=1,"■","")</f>
        <v/>
      </c>
      <c r="U125" s="36" t="str">
        <f>IF(T_MEDIDAS[[#This Row],[Medidaium risk (2)]]=1,"■","")</f>
        <v>■</v>
      </c>
      <c r="V125" s="81" t="str">
        <f>IF(T_MEDIDAS[[#This Row],[High risk (3)]]=1,"■","")</f>
        <v>■</v>
      </c>
      <c r="W125" s="19" t="str">
        <f t="shared" si="7"/>
        <v>4. Alto (Rojo)</v>
      </c>
      <c r="X125" s="19">
        <f>COUNT(T_MEDIDAS[[#This Row],[Edificios públicos]:[Coordinación]])</f>
        <v>1</v>
      </c>
      <c r="Y125" s="19"/>
      <c r="Z125" s="19" t="str">
        <f>IF(T_MEDIDAS[[#This Row],[Edificios públicos]]=1,"Si","No")</f>
        <v>No</v>
      </c>
      <c r="AA125" s="19"/>
      <c r="AB125" s="19" t="str">
        <f>IF(T_MEDIDAS[[#This Row],[Planificación urbana]]=1,"Si","No")</f>
        <v>No</v>
      </c>
      <c r="AC125" s="19">
        <v>1</v>
      </c>
      <c r="AD125" s="19" t="str">
        <f>IF(T_MEDIDAS[[#This Row],[Cultura y deportes]],"Si","No")</f>
        <v>Si</v>
      </c>
      <c r="AE125" s="19"/>
      <c r="AF125" s="19" t="str">
        <f>IF(T_MEDIDAS[[#This Row],[Turismo]],"Si","No")</f>
        <v>No</v>
      </c>
      <c r="AG125" s="19"/>
      <c r="AH125" s="19" t="str">
        <f>IF(T_MEDIDAS[[#This Row],[Riesgos laborales]],"Si","No")</f>
        <v>No</v>
      </c>
      <c r="AI125" s="19"/>
      <c r="AJ125" s="19" t="str">
        <f>IF(T_MEDIDAS[[#This Row],[Educación]],"Si","No")</f>
        <v>No</v>
      </c>
      <c r="AK125" s="19"/>
      <c r="AL125" s="19" t="str">
        <f>IF(T_MEDIDAS[[#This Row],[Servicios sociales]],"Si","No")</f>
        <v>No</v>
      </c>
      <c r="AM125" s="19"/>
      <c r="AN125" s="19" t="str">
        <f>IF(T_MEDIDAS[[#This Row],[Servicios de emergencia y policía]],"Si","No")</f>
        <v>No</v>
      </c>
      <c r="AO125" s="19"/>
      <c r="AP125" s="19" t="str">
        <f>IF(T_MEDIDAS[[#This Row],[Parques y jardines]],"Si","No")</f>
        <v>No</v>
      </c>
      <c r="AQ125" s="19"/>
      <c r="AR125" s="19" t="str">
        <f>IF(T_MEDIDAS[[#This Row],[Transporte]],"Si","No")</f>
        <v>No</v>
      </c>
      <c r="AS125" s="125"/>
      <c r="AT125" s="1" t="str">
        <f>IF(T_MEDIDAS[[#This Row],[Coordinación]],"Si","No")</f>
        <v>No</v>
      </c>
      <c r="AU125" s="2">
        <v>1</v>
      </c>
      <c r="AV125" s="1">
        <v>1</v>
      </c>
      <c r="AW125" s="1">
        <v>1</v>
      </c>
      <c r="AX125" s="1">
        <v>1</v>
      </c>
      <c r="AY125" s="3">
        <v>1</v>
      </c>
      <c r="AZ125" s="43">
        <f>SUMPRODUCT($AT$15:$AX$15,T_MEDIDAS[[#This Row],[&lt;5.000]:[&gt;100.000]])</f>
        <v>1</v>
      </c>
      <c r="BA125" s="1">
        <v>1</v>
      </c>
      <c r="BB125" s="1">
        <v>1</v>
      </c>
      <c r="BC125" s="1">
        <v>1</v>
      </c>
      <c r="BD125" s="1">
        <v>1</v>
      </c>
      <c r="BE125" s="1">
        <v>1</v>
      </c>
      <c r="BF125" s="1">
        <v>1</v>
      </c>
      <c r="BG125" s="1">
        <v>1</v>
      </c>
      <c r="BH125" s="43" cm="1">
        <f t="array" ref="BH125">SUMPRODUCT(--((T_MEDIDAS[[#This Row],[Centros de salud o asistencia social]:[Escuelas / Centros de educación]] + $AZ$15:$BF$15)&gt;0))</f>
        <v>7</v>
      </c>
      <c r="BI125" s="1">
        <v>0</v>
      </c>
      <c r="BJ125" s="1">
        <v>0</v>
      </c>
      <c r="BK125" s="1">
        <v>2</v>
      </c>
      <c r="BL125" s="1">
        <v>2</v>
      </c>
      <c r="BM125" s="1">
        <v>3</v>
      </c>
      <c r="BN125" s="1">
        <v>2</v>
      </c>
      <c r="BO125" s="1">
        <v>3</v>
      </c>
      <c r="BP125" s="1">
        <v>3</v>
      </c>
      <c r="BQ125" s="47" cm="1">
        <f t="array" ref="BQ125">T_MEDIDAS[[#This Row],[Aplicación tamaño]]*(SUMPRODUCT(T_MEDIDAS[[#This Row],[C1_Refrigeración]:[C8_Tiempo]],TRANSPOSE('2.PONDERACIÓN'!$L$13:$L$20))+(ROW(C125)-ROW($C$18)+1)*0.0000000001)*100</f>
        <v>187.50000108</v>
      </c>
      <c r="BR125" s="84"/>
      <c r="BS125" s="90"/>
    </row>
    <row r="126" spans="1:71" ht="34.5" hidden="1">
      <c r="A126" s="84"/>
      <c r="B126" s="90"/>
      <c r="C126" s="84"/>
      <c r="D126" s="43">
        <f>IF(T_MEDIDAS[[#This Row],[Peso Criterios]]&lt;=0,"",_xlfn.RANK.EQ(T_MEDIDAS[[#This Row],[Peso Criterios]],T_MEDIDAS[Peso Criterios]))</f>
        <v>5</v>
      </c>
      <c r="E126" s="116" t="s">
        <v>373</v>
      </c>
      <c r="F126" s="117" t="s">
        <v>72</v>
      </c>
      <c r="G126" s="126" t="s">
        <v>56</v>
      </c>
      <c r="H126" s="126" t="s">
        <v>273</v>
      </c>
      <c r="I126" s="126" t="s">
        <v>374</v>
      </c>
      <c r="J126" s="126"/>
      <c r="K126" s="120">
        <v>1</v>
      </c>
      <c r="L126" s="19">
        <v>1</v>
      </c>
      <c r="M126" s="19"/>
      <c r="N126" s="121" t="str">
        <f t="shared" si="6"/>
        <v>€€</v>
      </c>
      <c r="O126" s="122"/>
      <c r="P126" s="122"/>
      <c r="Q126" s="20">
        <v>1</v>
      </c>
      <c r="R126" s="122">
        <v>1</v>
      </c>
      <c r="S126" s="34" t="str">
        <f>IF(T_MEDIDAS[[#This Row],[No risk (0)]]=1,"■","")</f>
        <v/>
      </c>
      <c r="T126" s="35" t="str">
        <f>IF(T_MEDIDAS[[#This Row],[Low risk (1)]]=1,"■","")</f>
        <v/>
      </c>
      <c r="U126" s="36" t="str">
        <f>IF(T_MEDIDAS[[#This Row],[Medidaium risk (2)]]=1,"■","")</f>
        <v>■</v>
      </c>
      <c r="V126" s="81" t="str">
        <f>IF(T_MEDIDAS[[#This Row],[High risk (3)]]=1,"■","")</f>
        <v>■</v>
      </c>
      <c r="W126" s="19" t="str">
        <f t="shared" si="7"/>
        <v>4. Alto (Rojo)</v>
      </c>
      <c r="X126" s="19">
        <f>COUNT(T_MEDIDAS[[#This Row],[Edificios públicos]:[Coordinación]])</f>
        <v>2</v>
      </c>
      <c r="Y126" s="19">
        <v>1</v>
      </c>
      <c r="Z126" s="19" t="str">
        <f>IF(T_MEDIDAS[[#This Row],[Edificios públicos]]=1,"Si","No")</f>
        <v>Si</v>
      </c>
      <c r="AA126" s="19"/>
      <c r="AB126" s="19" t="str">
        <f>IF(T_MEDIDAS[[#This Row],[Planificación urbana]]=1,"Si","No")</f>
        <v>No</v>
      </c>
      <c r="AC126" s="19"/>
      <c r="AD126" s="19" t="str">
        <f>IF(T_MEDIDAS[[#This Row],[Cultura y deportes]],"Si","No")</f>
        <v>No</v>
      </c>
      <c r="AE126" s="19"/>
      <c r="AF126" s="19" t="str">
        <f>IF(T_MEDIDAS[[#This Row],[Turismo]],"Si","No")</f>
        <v>No</v>
      </c>
      <c r="AG126" s="19"/>
      <c r="AH126" s="19" t="str">
        <f>IF(T_MEDIDAS[[#This Row],[Riesgos laborales]],"Si","No")</f>
        <v>No</v>
      </c>
      <c r="AI126" s="19"/>
      <c r="AJ126" s="19" t="str">
        <f>IF(T_MEDIDAS[[#This Row],[Educación]],"Si","No")</f>
        <v>No</v>
      </c>
      <c r="AK126" s="19"/>
      <c r="AL126" s="19" t="str">
        <f>IF(T_MEDIDAS[[#This Row],[Servicios sociales]],"Si","No")</f>
        <v>No</v>
      </c>
      <c r="AM126" s="19"/>
      <c r="AN126" s="19" t="str">
        <f>IF(T_MEDIDAS[[#This Row],[Servicios de emergencia y policía]],"Si","No")</f>
        <v>No</v>
      </c>
      <c r="AO126" s="19"/>
      <c r="AP126" s="19" t="str">
        <f>IF(T_MEDIDAS[[#This Row],[Parques y jardines]],"Si","No")</f>
        <v>No</v>
      </c>
      <c r="AQ126" s="19"/>
      <c r="AR126" s="19" t="str">
        <f>IF(T_MEDIDAS[[#This Row],[Transporte]],"Si","No")</f>
        <v>No</v>
      </c>
      <c r="AS126" s="125">
        <v>1</v>
      </c>
      <c r="AT126" s="1" t="str">
        <f>IF(T_MEDIDAS[[#This Row],[Coordinación]],"Si","No")</f>
        <v>Si</v>
      </c>
      <c r="AU126" s="2">
        <v>1</v>
      </c>
      <c r="AV126" s="1">
        <v>1</v>
      </c>
      <c r="AW126" s="1">
        <v>1</v>
      </c>
      <c r="AX126" s="1">
        <v>1</v>
      </c>
      <c r="AY126" s="3">
        <v>1</v>
      </c>
      <c r="AZ126" s="43">
        <f>SUMPRODUCT($AT$15:$AX$15,T_MEDIDAS[[#This Row],[&lt;5.000]:[&gt;100.000]])</f>
        <v>1</v>
      </c>
      <c r="BA126" s="1">
        <v>1</v>
      </c>
      <c r="BB126" s="1">
        <v>1</v>
      </c>
      <c r="BC126" s="1">
        <v>1</v>
      </c>
      <c r="BD126" s="1">
        <v>1</v>
      </c>
      <c r="BE126" s="1">
        <v>1</v>
      </c>
      <c r="BF126" s="1">
        <v>1</v>
      </c>
      <c r="BG126" s="1">
        <v>1</v>
      </c>
      <c r="BH126" s="43" cm="1">
        <f t="array" ref="BH126">SUMPRODUCT(--((T_MEDIDAS[[#This Row],[Centros de salud o asistencia social]:[Escuelas / Centros de educación]] + $AZ$15:$BF$15)&gt;0))</f>
        <v>7</v>
      </c>
      <c r="BI126" s="44">
        <v>0</v>
      </c>
      <c r="BJ126" s="44">
        <v>0</v>
      </c>
      <c r="BK126" s="44">
        <v>3</v>
      </c>
      <c r="BL126" s="44">
        <v>3</v>
      </c>
      <c r="BM126" s="44">
        <v>3</v>
      </c>
      <c r="BN126" s="44">
        <v>2</v>
      </c>
      <c r="BO126" s="44">
        <v>3</v>
      </c>
      <c r="BP126" s="44">
        <v>3</v>
      </c>
      <c r="BQ126" s="47" cm="1">
        <f t="array" ref="BQ126">T_MEDIDAS[[#This Row],[Aplicación tamaño]]*(SUMPRODUCT(T_MEDIDAS[[#This Row],[C1_Refrigeración]:[C8_Tiempo]],TRANSPOSE('2.PONDERACIÓN'!$L$13:$L$20))+(ROW(C126)-ROW($C$18)+1)*0.0000000001)*100</f>
        <v>212.50000109000001</v>
      </c>
      <c r="BR126" s="84"/>
      <c r="BS126" s="90"/>
    </row>
    <row r="127" spans="1:71" ht="34.5" hidden="1">
      <c r="A127" s="84"/>
      <c r="B127" s="90"/>
      <c r="C127" s="84"/>
      <c r="D127" s="43">
        <f>IF(T_MEDIDAS[[#This Row],[Peso Criterios]]&lt;=0,"",_xlfn.RANK.EQ(T_MEDIDAS[[#This Row],[Peso Criterios]],T_MEDIDAS[Peso Criterios]))</f>
        <v>4</v>
      </c>
      <c r="E127" s="116" t="s">
        <v>375</v>
      </c>
      <c r="F127" s="117" t="s">
        <v>72</v>
      </c>
      <c r="G127" s="126" t="s">
        <v>56</v>
      </c>
      <c r="H127" s="126" t="s">
        <v>273</v>
      </c>
      <c r="I127" s="126" t="s">
        <v>376</v>
      </c>
      <c r="J127" s="126"/>
      <c r="K127" s="120"/>
      <c r="L127" s="19"/>
      <c r="M127" s="19"/>
      <c r="N127" s="121" t="str">
        <f t="shared" si="6"/>
        <v>-</v>
      </c>
      <c r="O127" s="122"/>
      <c r="P127" s="122">
        <v>1</v>
      </c>
      <c r="Q127" s="20">
        <v>1</v>
      </c>
      <c r="R127" s="122">
        <v>1</v>
      </c>
      <c r="S127" s="34" t="str">
        <f>IF(T_MEDIDAS[[#This Row],[No risk (0)]]=1,"■","")</f>
        <v/>
      </c>
      <c r="T127" s="35" t="str">
        <f>IF(T_MEDIDAS[[#This Row],[Low risk (1)]]=1,"■","")</f>
        <v>■</v>
      </c>
      <c r="U127" s="36" t="str">
        <f>IF(T_MEDIDAS[[#This Row],[Medidaium risk (2)]]=1,"■","")</f>
        <v>■</v>
      </c>
      <c r="V127" s="81" t="str">
        <f>IF(T_MEDIDAS[[#This Row],[High risk (3)]]=1,"■","")</f>
        <v>■</v>
      </c>
      <c r="W127" s="19" t="str">
        <f t="shared" si="7"/>
        <v>4. Alto (Rojo)</v>
      </c>
      <c r="X127" s="19">
        <f>COUNT(T_MEDIDAS[[#This Row],[Edificios públicos]:[Coordinación]])</f>
        <v>2</v>
      </c>
      <c r="Y127" s="19">
        <v>1</v>
      </c>
      <c r="Z127" s="19" t="str">
        <f>IF(T_MEDIDAS[[#This Row],[Edificios públicos]]=1,"Si","No")</f>
        <v>Si</v>
      </c>
      <c r="AA127" s="19"/>
      <c r="AB127" s="19" t="str">
        <f>IF(T_MEDIDAS[[#This Row],[Planificación urbana]]=1,"Si","No")</f>
        <v>No</v>
      </c>
      <c r="AC127" s="19"/>
      <c r="AD127" s="19" t="str">
        <f>IF(T_MEDIDAS[[#This Row],[Cultura y deportes]],"Si","No")</f>
        <v>No</v>
      </c>
      <c r="AE127" s="19"/>
      <c r="AF127" s="19" t="str">
        <f>IF(T_MEDIDAS[[#This Row],[Turismo]],"Si","No")</f>
        <v>No</v>
      </c>
      <c r="AG127" s="19"/>
      <c r="AH127" s="19" t="str">
        <f>IF(T_MEDIDAS[[#This Row],[Riesgos laborales]],"Si","No")</f>
        <v>No</v>
      </c>
      <c r="AI127" s="19"/>
      <c r="AJ127" s="19" t="str">
        <f>IF(T_MEDIDAS[[#This Row],[Educación]],"Si","No")</f>
        <v>No</v>
      </c>
      <c r="AK127" s="19">
        <v>1</v>
      </c>
      <c r="AL127" s="19" t="str">
        <f>IF(T_MEDIDAS[[#This Row],[Servicios sociales]],"Si","No")</f>
        <v>Si</v>
      </c>
      <c r="AM127" s="19"/>
      <c r="AN127" s="19" t="str">
        <f>IF(T_MEDIDAS[[#This Row],[Servicios de emergencia y policía]],"Si","No")</f>
        <v>No</v>
      </c>
      <c r="AO127" s="19"/>
      <c r="AP127" s="19" t="str">
        <f>IF(T_MEDIDAS[[#This Row],[Parques y jardines]],"Si","No")</f>
        <v>No</v>
      </c>
      <c r="AQ127" s="19"/>
      <c r="AR127" s="19" t="str">
        <f>IF(T_MEDIDAS[[#This Row],[Transporte]],"Si","No")</f>
        <v>No</v>
      </c>
      <c r="AS127" s="125"/>
      <c r="AT127" s="1" t="str">
        <f>IF(T_MEDIDAS[[#This Row],[Coordinación]],"Si","No")</f>
        <v>No</v>
      </c>
      <c r="AU127" s="2">
        <v>1</v>
      </c>
      <c r="AV127" s="1">
        <v>1</v>
      </c>
      <c r="AW127" s="1">
        <v>1</v>
      </c>
      <c r="AX127" s="1">
        <v>1</v>
      </c>
      <c r="AY127" s="3">
        <v>1</v>
      </c>
      <c r="AZ127" s="43">
        <f>SUMPRODUCT($AT$15:$AX$15,T_MEDIDAS[[#This Row],[&lt;5.000]:[&gt;100.000]])</f>
        <v>1</v>
      </c>
      <c r="BA127" s="1">
        <v>1</v>
      </c>
      <c r="BB127" s="1">
        <v>1</v>
      </c>
      <c r="BC127" s="1">
        <v>1</v>
      </c>
      <c r="BD127" s="1">
        <v>1</v>
      </c>
      <c r="BE127" s="1">
        <v>1</v>
      </c>
      <c r="BF127" s="1">
        <v>1</v>
      </c>
      <c r="BG127" s="1">
        <v>1</v>
      </c>
      <c r="BH127" s="43" cm="1">
        <f t="array" ref="BH127">SUMPRODUCT(--((T_MEDIDAS[[#This Row],[Centros de salud o asistencia social]:[Escuelas / Centros de educación]] + $AZ$15:$BF$15)&gt;0))</f>
        <v>7</v>
      </c>
      <c r="BI127" s="1">
        <v>0</v>
      </c>
      <c r="BJ127" s="1">
        <v>0</v>
      </c>
      <c r="BK127" s="1">
        <v>3</v>
      </c>
      <c r="BL127" s="1">
        <v>3</v>
      </c>
      <c r="BM127" s="1">
        <v>3</v>
      </c>
      <c r="BN127" s="1">
        <v>2</v>
      </c>
      <c r="BO127" s="1">
        <v>3</v>
      </c>
      <c r="BP127" s="1">
        <v>3</v>
      </c>
      <c r="BQ127" s="47" cm="1">
        <f t="array" ref="BQ127">T_MEDIDAS[[#This Row],[Aplicación tamaño]]*(SUMPRODUCT(T_MEDIDAS[[#This Row],[C1_Refrigeración]:[C8_Tiempo]],TRANSPOSE('2.PONDERACIÓN'!$L$13:$L$20))+(ROW(C127)-ROW($C$18)+1)*0.0000000001)*100</f>
        <v>212.50000109999999</v>
      </c>
      <c r="BR127" s="84"/>
      <c r="BS127" s="90"/>
    </row>
    <row r="128" spans="1:71" ht="34.5" hidden="1">
      <c r="A128" s="84"/>
      <c r="B128" s="90"/>
      <c r="C128" s="84"/>
      <c r="D128" s="43">
        <f>IF(T_MEDIDAS[[#This Row],[Peso Criterios]]&lt;=0,"",_xlfn.RANK.EQ(T_MEDIDAS[[#This Row],[Peso Criterios]],T_MEDIDAS[Peso Criterios]))</f>
        <v>3</v>
      </c>
      <c r="E128" s="116" t="s">
        <v>377</v>
      </c>
      <c r="F128" s="117" t="s">
        <v>72</v>
      </c>
      <c r="G128" s="126" t="s">
        <v>56</v>
      </c>
      <c r="H128" s="126" t="s">
        <v>273</v>
      </c>
      <c r="I128" s="126" t="s">
        <v>378</v>
      </c>
      <c r="J128" s="126"/>
      <c r="K128" s="120"/>
      <c r="L128" s="19"/>
      <c r="M128" s="19"/>
      <c r="N128" s="121" t="str">
        <f t="shared" si="6"/>
        <v>-</v>
      </c>
      <c r="O128" s="122"/>
      <c r="P128" s="122"/>
      <c r="Q128" s="20">
        <v>1</v>
      </c>
      <c r="R128" s="122"/>
      <c r="S128" s="34" t="str">
        <f>IF(T_MEDIDAS[[#This Row],[No risk (0)]]=1,"■","")</f>
        <v/>
      </c>
      <c r="T128" s="35" t="str">
        <f>IF(T_MEDIDAS[[#This Row],[Low risk (1)]]=1,"■","")</f>
        <v/>
      </c>
      <c r="U128" s="36" t="str">
        <f>IF(T_MEDIDAS[[#This Row],[Medidaium risk (2)]]=1,"■","")</f>
        <v>■</v>
      </c>
      <c r="V128" s="81" t="str">
        <f>IF(T_MEDIDAS[[#This Row],[High risk (3)]]=1,"■","")</f>
        <v/>
      </c>
      <c r="W128" s="19" t="str">
        <f t="shared" si="7"/>
        <v>3. Medio (Naranja)</v>
      </c>
      <c r="X128" s="19">
        <f>COUNT(T_MEDIDAS[[#This Row],[Edificios públicos]:[Coordinación]])</f>
        <v>2</v>
      </c>
      <c r="Y128" s="19"/>
      <c r="Z128" s="19" t="str">
        <f>IF(T_MEDIDAS[[#This Row],[Edificios públicos]]=1,"Si","No")</f>
        <v>No</v>
      </c>
      <c r="AA128" s="19"/>
      <c r="AB128" s="19" t="str">
        <f>IF(T_MEDIDAS[[#This Row],[Planificación urbana]]=1,"Si","No")</f>
        <v>No</v>
      </c>
      <c r="AC128" s="19"/>
      <c r="AD128" s="19" t="str">
        <f>IF(T_MEDIDAS[[#This Row],[Cultura y deportes]],"Si","No")</f>
        <v>No</v>
      </c>
      <c r="AE128" s="19"/>
      <c r="AF128" s="19" t="str">
        <f>IF(T_MEDIDAS[[#This Row],[Turismo]],"Si","No")</f>
        <v>No</v>
      </c>
      <c r="AG128" s="19"/>
      <c r="AH128" s="19" t="str">
        <f>IF(T_MEDIDAS[[#This Row],[Riesgos laborales]],"Si","No")</f>
        <v>No</v>
      </c>
      <c r="AI128" s="19"/>
      <c r="AJ128" s="19" t="str">
        <f>IF(T_MEDIDAS[[#This Row],[Educación]],"Si","No")</f>
        <v>No</v>
      </c>
      <c r="AK128" s="19"/>
      <c r="AL128" s="19" t="str">
        <f>IF(T_MEDIDAS[[#This Row],[Servicios sociales]],"Si","No")</f>
        <v>No</v>
      </c>
      <c r="AM128" s="19">
        <v>1</v>
      </c>
      <c r="AN128" s="19" t="str">
        <f>IF(T_MEDIDAS[[#This Row],[Servicios de emergencia y policía]],"Si","No")</f>
        <v>Si</v>
      </c>
      <c r="AO128" s="19"/>
      <c r="AP128" s="19" t="str">
        <f>IF(T_MEDIDAS[[#This Row],[Parques y jardines]],"Si","No")</f>
        <v>No</v>
      </c>
      <c r="AQ128" s="19"/>
      <c r="AR128" s="19" t="str">
        <f>IF(T_MEDIDAS[[#This Row],[Transporte]],"Si","No")</f>
        <v>No</v>
      </c>
      <c r="AS128" s="125">
        <v>1</v>
      </c>
      <c r="AT128" s="1" t="str">
        <f>IF(T_MEDIDAS[[#This Row],[Coordinación]],"Si","No")</f>
        <v>Si</v>
      </c>
      <c r="AU128" s="2">
        <v>1</v>
      </c>
      <c r="AV128" s="1">
        <v>1</v>
      </c>
      <c r="AW128" s="1">
        <v>1</v>
      </c>
      <c r="AX128" s="1">
        <v>1</v>
      </c>
      <c r="AY128" s="3">
        <v>1</v>
      </c>
      <c r="AZ128" s="43">
        <f>SUMPRODUCT($AT$15:$AX$15,T_MEDIDAS[[#This Row],[&lt;5.000]:[&gt;100.000]])</f>
        <v>1</v>
      </c>
      <c r="BA128" s="1">
        <v>1</v>
      </c>
      <c r="BB128" s="1">
        <v>1</v>
      </c>
      <c r="BC128" s="1">
        <v>1</v>
      </c>
      <c r="BD128" s="1">
        <v>1</v>
      </c>
      <c r="BE128" s="1">
        <v>1</v>
      </c>
      <c r="BF128" s="1">
        <v>1</v>
      </c>
      <c r="BG128" s="1">
        <v>1</v>
      </c>
      <c r="BH128" s="43" cm="1">
        <f t="array" ref="BH128">SUMPRODUCT(--((T_MEDIDAS[[#This Row],[Centros de salud o asistencia social]:[Escuelas / Centros de educación]] + $AZ$15:$BF$15)&gt;0))</f>
        <v>7</v>
      </c>
      <c r="BI128" s="44">
        <v>0</v>
      </c>
      <c r="BJ128" s="44">
        <v>0</v>
      </c>
      <c r="BK128" s="44">
        <v>3</v>
      </c>
      <c r="BL128" s="44">
        <v>3</v>
      </c>
      <c r="BM128" s="44">
        <v>3</v>
      </c>
      <c r="BN128" s="44">
        <v>2</v>
      </c>
      <c r="BO128" s="44">
        <v>3</v>
      </c>
      <c r="BP128" s="44">
        <v>3</v>
      </c>
      <c r="BQ128" s="47" cm="1">
        <f t="array" ref="BQ128">T_MEDIDAS[[#This Row],[Aplicación tamaño]]*(SUMPRODUCT(T_MEDIDAS[[#This Row],[C1_Refrigeración]:[C8_Tiempo]],TRANSPOSE('2.PONDERACIÓN'!$L$13:$L$20))+(ROW(C128)-ROW($C$18)+1)*0.0000000001)*100</f>
        <v>212.50000111</v>
      </c>
      <c r="BR128" s="84"/>
      <c r="BS128" s="90"/>
    </row>
    <row r="129" spans="1:71" ht="34.5" hidden="1">
      <c r="A129" s="84"/>
      <c r="B129" s="90"/>
      <c r="C129" s="84"/>
      <c r="D129" s="43">
        <f>IF(T_MEDIDAS[[#This Row],[Peso Criterios]]&lt;=0,"",_xlfn.RANK.EQ(T_MEDIDAS[[#This Row],[Peso Criterios]],T_MEDIDAS[Peso Criterios]))</f>
        <v>2</v>
      </c>
      <c r="E129" s="116" t="s">
        <v>379</v>
      </c>
      <c r="F129" s="117" t="s">
        <v>72</v>
      </c>
      <c r="G129" s="126" t="s">
        <v>50</v>
      </c>
      <c r="H129" s="126" t="s">
        <v>151</v>
      </c>
      <c r="I129" s="126" t="s">
        <v>380</v>
      </c>
      <c r="J129" s="126"/>
      <c r="K129" s="120"/>
      <c r="L129" s="19"/>
      <c r="M129" s="19"/>
      <c r="N129" s="121" t="str">
        <f t="shared" si="6"/>
        <v>-</v>
      </c>
      <c r="O129" s="122"/>
      <c r="P129" s="122"/>
      <c r="Q129" s="20">
        <v>1</v>
      </c>
      <c r="R129" s="122"/>
      <c r="S129" s="34" t="str">
        <f>IF(T_MEDIDAS[[#This Row],[No risk (0)]]=1,"■","")</f>
        <v/>
      </c>
      <c r="T129" s="35" t="str">
        <f>IF(T_MEDIDAS[[#This Row],[Low risk (1)]]=1,"■","")</f>
        <v/>
      </c>
      <c r="U129" s="36" t="str">
        <f>IF(T_MEDIDAS[[#This Row],[Medidaium risk (2)]]=1,"■","")</f>
        <v>■</v>
      </c>
      <c r="V129" s="81" t="str">
        <f>IF(T_MEDIDAS[[#This Row],[High risk (3)]]=1,"■","")</f>
        <v/>
      </c>
      <c r="W129" s="19" t="str">
        <f t="shared" si="7"/>
        <v>3. Medio (Naranja)</v>
      </c>
      <c r="X129" s="19">
        <f>COUNT(T_MEDIDAS[[#This Row],[Edificios públicos]:[Coordinación]])</f>
        <v>2</v>
      </c>
      <c r="Y129" s="19"/>
      <c r="Z129" s="19" t="str">
        <f>IF(T_MEDIDAS[[#This Row],[Edificios públicos]]=1,"Si","No")</f>
        <v>No</v>
      </c>
      <c r="AA129" s="19"/>
      <c r="AB129" s="19" t="str">
        <f>IF(T_MEDIDAS[[#This Row],[Planificación urbana]]=1,"Si","No")</f>
        <v>No</v>
      </c>
      <c r="AC129" s="19"/>
      <c r="AD129" s="19" t="str">
        <f>IF(T_MEDIDAS[[#This Row],[Cultura y deportes]],"Si","No")</f>
        <v>No</v>
      </c>
      <c r="AE129" s="19"/>
      <c r="AF129" s="19" t="str">
        <f>IF(T_MEDIDAS[[#This Row],[Turismo]],"Si","No")</f>
        <v>No</v>
      </c>
      <c r="AG129" s="19"/>
      <c r="AH129" s="19" t="str">
        <f>IF(T_MEDIDAS[[#This Row],[Riesgos laborales]],"Si","No")</f>
        <v>No</v>
      </c>
      <c r="AI129" s="19"/>
      <c r="AJ129" s="19" t="str">
        <f>IF(T_MEDIDAS[[#This Row],[Educación]],"Si","No")</f>
        <v>No</v>
      </c>
      <c r="AK129" s="19"/>
      <c r="AL129" s="19" t="str">
        <f>IF(T_MEDIDAS[[#This Row],[Servicios sociales]],"Si","No")</f>
        <v>No</v>
      </c>
      <c r="AM129" s="19">
        <v>1</v>
      </c>
      <c r="AN129" s="19" t="str">
        <f>IF(T_MEDIDAS[[#This Row],[Servicios de emergencia y policía]],"Si","No")</f>
        <v>Si</v>
      </c>
      <c r="AO129" s="19"/>
      <c r="AP129" s="19" t="str">
        <f>IF(T_MEDIDAS[[#This Row],[Parques y jardines]],"Si","No")</f>
        <v>No</v>
      </c>
      <c r="AQ129" s="19"/>
      <c r="AR129" s="19" t="str">
        <f>IF(T_MEDIDAS[[#This Row],[Transporte]],"Si","No")</f>
        <v>No</v>
      </c>
      <c r="AS129" s="125">
        <v>1</v>
      </c>
      <c r="AT129" s="1" t="str">
        <f>IF(T_MEDIDAS[[#This Row],[Coordinación]],"Si","No")</f>
        <v>Si</v>
      </c>
      <c r="AU129" s="2">
        <v>1</v>
      </c>
      <c r="AV129" s="1">
        <v>1</v>
      </c>
      <c r="AW129" s="1">
        <v>1</v>
      </c>
      <c r="AX129" s="1">
        <v>1</v>
      </c>
      <c r="AY129" s="3">
        <v>1</v>
      </c>
      <c r="AZ129" s="43">
        <f>SUMPRODUCT($AT$15:$AX$15,T_MEDIDAS[[#This Row],[&lt;5.000]:[&gt;100.000]])</f>
        <v>1</v>
      </c>
      <c r="BA129" s="1">
        <v>1</v>
      </c>
      <c r="BB129" s="1">
        <v>1</v>
      </c>
      <c r="BC129" s="1">
        <v>1</v>
      </c>
      <c r="BD129" s="1">
        <v>1</v>
      </c>
      <c r="BE129" s="1">
        <v>1</v>
      </c>
      <c r="BF129" s="1">
        <v>1</v>
      </c>
      <c r="BG129" s="1">
        <v>1</v>
      </c>
      <c r="BH129" s="43" cm="1">
        <f t="array" ref="BH129">SUMPRODUCT(--((T_MEDIDAS[[#This Row],[Centros de salud o asistencia social]:[Escuelas / Centros de educación]] + $AZ$15:$BF$15)&gt;0))</f>
        <v>7</v>
      </c>
      <c r="BI129" s="1">
        <v>0</v>
      </c>
      <c r="BJ129" s="1">
        <v>0</v>
      </c>
      <c r="BK129" s="1">
        <v>3</v>
      </c>
      <c r="BL129" s="1">
        <v>3</v>
      </c>
      <c r="BM129" s="1">
        <v>3</v>
      </c>
      <c r="BN129" s="1">
        <v>2</v>
      </c>
      <c r="BO129" s="1">
        <v>3</v>
      </c>
      <c r="BP129" s="1">
        <v>3</v>
      </c>
      <c r="BQ129" s="47" cm="1">
        <f t="array" ref="BQ129">T_MEDIDAS[[#This Row],[Aplicación tamaño]]*(SUMPRODUCT(T_MEDIDAS[[#This Row],[C1_Refrigeración]:[C8_Tiempo]],TRANSPOSE('2.PONDERACIÓN'!$L$13:$L$20))+(ROW(C129)-ROW($C$18)+1)*0.0000000001)*100</f>
        <v>212.50000112000001</v>
      </c>
      <c r="BR129" s="84"/>
      <c r="BS129" s="90"/>
    </row>
    <row r="130" spans="1:71" ht="34.5" hidden="1">
      <c r="A130" s="84"/>
      <c r="B130" s="90"/>
      <c r="C130" s="84"/>
      <c r="D130" s="43">
        <f>IF(T_MEDIDAS[[#This Row],[Peso Criterios]]&lt;=0,"",_xlfn.RANK.EQ(T_MEDIDAS[[#This Row],[Peso Criterios]],T_MEDIDAS[Peso Criterios]))</f>
        <v>84</v>
      </c>
      <c r="E130" s="116" t="s">
        <v>381</v>
      </c>
      <c r="F130" s="117" t="s">
        <v>72</v>
      </c>
      <c r="G130" s="126" t="s">
        <v>50</v>
      </c>
      <c r="H130" s="126" t="s">
        <v>151</v>
      </c>
      <c r="I130" s="126" t="s">
        <v>382</v>
      </c>
      <c r="J130" s="126"/>
      <c r="K130" s="120"/>
      <c r="L130" s="19"/>
      <c r="M130" s="19"/>
      <c r="N130" s="121" t="str">
        <f t="shared" si="6"/>
        <v>-</v>
      </c>
      <c r="O130" s="122"/>
      <c r="P130" s="122"/>
      <c r="Q130" s="20">
        <v>1</v>
      </c>
      <c r="R130" s="122"/>
      <c r="S130" s="34" t="str">
        <f>IF(T_MEDIDAS[[#This Row],[No risk (0)]]=1,"■","")</f>
        <v/>
      </c>
      <c r="T130" s="35" t="str">
        <f>IF(T_MEDIDAS[[#This Row],[Low risk (1)]]=1,"■","")</f>
        <v/>
      </c>
      <c r="U130" s="36" t="str">
        <f>IF(T_MEDIDAS[[#This Row],[Medidaium risk (2)]]=1,"■","")</f>
        <v>■</v>
      </c>
      <c r="V130" s="81" t="str">
        <f>IF(T_MEDIDAS[[#This Row],[High risk (3)]]=1,"■","")</f>
        <v/>
      </c>
      <c r="W130" s="19" t="str">
        <f t="shared" si="7"/>
        <v>3. Medio (Naranja)</v>
      </c>
      <c r="X130" s="19">
        <f>COUNT(T_MEDIDAS[[#This Row],[Edificios públicos]:[Coordinación]])</f>
        <v>2</v>
      </c>
      <c r="Y130" s="19"/>
      <c r="Z130" s="19" t="str">
        <f>IF(T_MEDIDAS[[#This Row],[Edificios públicos]]=1,"Si","No")</f>
        <v>No</v>
      </c>
      <c r="AA130" s="19"/>
      <c r="AB130" s="19" t="str">
        <f>IF(T_MEDIDAS[[#This Row],[Planificación urbana]]=1,"Si","No")</f>
        <v>No</v>
      </c>
      <c r="AC130" s="19"/>
      <c r="AD130" s="19" t="str">
        <f>IF(T_MEDIDAS[[#This Row],[Cultura y deportes]],"Si","No")</f>
        <v>No</v>
      </c>
      <c r="AE130" s="19"/>
      <c r="AF130" s="19" t="str">
        <f>IF(T_MEDIDAS[[#This Row],[Turismo]],"Si","No")</f>
        <v>No</v>
      </c>
      <c r="AG130" s="19"/>
      <c r="AH130" s="19" t="str">
        <f>IF(T_MEDIDAS[[#This Row],[Riesgos laborales]],"Si","No")</f>
        <v>No</v>
      </c>
      <c r="AI130" s="19"/>
      <c r="AJ130" s="19" t="str">
        <f>IF(T_MEDIDAS[[#This Row],[Educación]],"Si","No")</f>
        <v>No</v>
      </c>
      <c r="AK130" s="19"/>
      <c r="AL130" s="19" t="str">
        <f>IF(T_MEDIDAS[[#This Row],[Servicios sociales]],"Si","No")</f>
        <v>No</v>
      </c>
      <c r="AM130" s="19">
        <v>1</v>
      </c>
      <c r="AN130" s="19" t="str">
        <f>IF(T_MEDIDAS[[#This Row],[Servicios de emergencia y policía]],"Si","No")</f>
        <v>Si</v>
      </c>
      <c r="AO130" s="19"/>
      <c r="AP130" s="19" t="str">
        <f>IF(T_MEDIDAS[[#This Row],[Parques y jardines]],"Si","No")</f>
        <v>No</v>
      </c>
      <c r="AQ130" s="19"/>
      <c r="AR130" s="19" t="str">
        <f>IF(T_MEDIDAS[[#This Row],[Transporte]],"Si","No")</f>
        <v>No</v>
      </c>
      <c r="AS130" s="125">
        <v>1</v>
      </c>
      <c r="AT130" s="1" t="str">
        <f>IF(T_MEDIDAS[[#This Row],[Coordinación]],"Si","No")</f>
        <v>Si</v>
      </c>
      <c r="AU130" s="2">
        <v>1</v>
      </c>
      <c r="AV130" s="1">
        <v>1</v>
      </c>
      <c r="AW130" s="1">
        <v>1</v>
      </c>
      <c r="AX130" s="1">
        <v>1</v>
      </c>
      <c r="AY130" s="3">
        <v>1</v>
      </c>
      <c r="AZ130" s="43">
        <f>SUMPRODUCT($AT$15:$AX$15,T_MEDIDAS[[#This Row],[&lt;5.000]:[&gt;100.000]])</f>
        <v>1</v>
      </c>
      <c r="BA130" s="1">
        <v>1</v>
      </c>
      <c r="BB130" s="1">
        <v>1</v>
      </c>
      <c r="BC130" s="1">
        <v>1</v>
      </c>
      <c r="BD130" s="1">
        <v>1</v>
      </c>
      <c r="BE130" s="1">
        <v>1</v>
      </c>
      <c r="BF130" s="1">
        <v>1</v>
      </c>
      <c r="BG130" s="1">
        <v>1</v>
      </c>
      <c r="BH130" s="43" cm="1">
        <f t="array" ref="BH130">SUMPRODUCT(--((T_MEDIDAS[[#This Row],[Centros de salud o asistencia social]:[Escuelas / Centros de educación]] + $AZ$15:$BF$15)&gt;0))</f>
        <v>7</v>
      </c>
      <c r="BI130" s="44">
        <v>0</v>
      </c>
      <c r="BJ130" s="44">
        <v>0</v>
      </c>
      <c r="BK130" s="44">
        <v>2</v>
      </c>
      <c r="BL130" s="44">
        <v>3</v>
      </c>
      <c r="BM130" s="44">
        <v>3</v>
      </c>
      <c r="BN130" s="44">
        <v>2</v>
      </c>
      <c r="BO130" s="44">
        <v>2</v>
      </c>
      <c r="BP130" s="44">
        <v>2</v>
      </c>
      <c r="BQ130" s="47" cm="1">
        <f t="array" ref="BQ130">T_MEDIDAS[[#This Row],[Aplicación tamaño]]*(SUMPRODUCT(T_MEDIDAS[[#This Row],[C1_Refrigeración]:[C8_Tiempo]],TRANSPOSE('2.PONDERACIÓN'!$L$13:$L$20))+(ROW(C130)-ROW($C$18)+1)*0.0000000001)*100</f>
        <v>175.00000113000002</v>
      </c>
      <c r="BR130" s="84"/>
      <c r="BS130" s="90"/>
    </row>
    <row r="131" spans="1:71" ht="34.5" hidden="1">
      <c r="A131" s="84"/>
      <c r="B131" s="90"/>
      <c r="C131" s="84"/>
      <c r="D131" s="43">
        <f>IF(T_MEDIDAS[[#This Row],[Peso Criterios]]&lt;=0,"",_xlfn.RANK.EQ(T_MEDIDAS[[#This Row],[Peso Criterios]],T_MEDIDAS[Peso Criterios]))</f>
        <v>57</v>
      </c>
      <c r="E131" s="116" t="s">
        <v>383</v>
      </c>
      <c r="F131" s="117" t="s">
        <v>72</v>
      </c>
      <c r="G131" s="126" t="s">
        <v>50</v>
      </c>
      <c r="H131" s="126" t="s">
        <v>151</v>
      </c>
      <c r="I131" s="117" t="s">
        <v>384</v>
      </c>
      <c r="J131" s="117"/>
      <c r="K131" s="120"/>
      <c r="L131" s="19"/>
      <c r="M131" s="19"/>
      <c r="N131" s="121" t="str">
        <f t="shared" si="6"/>
        <v>-</v>
      </c>
      <c r="O131" s="122"/>
      <c r="P131" s="122"/>
      <c r="Q131" s="20"/>
      <c r="R131" s="122">
        <v>1</v>
      </c>
      <c r="S131" s="34" t="str">
        <f>IF(T_MEDIDAS[[#This Row],[No risk (0)]]=1,"■","")</f>
        <v/>
      </c>
      <c r="T131" s="35" t="str">
        <f>IF(T_MEDIDAS[[#This Row],[Low risk (1)]]=1,"■","")</f>
        <v/>
      </c>
      <c r="U131" s="36" t="str">
        <f>IF(T_MEDIDAS[[#This Row],[Medidaium risk (2)]]=1,"■","")</f>
        <v/>
      </c>
      <c r="V131" s="81" t="str">
        <f>IF(T_MEDIDAS[[#This Row],[High risk (3)]]=1,"■","")</f>
        <v>■</v>
      </c>
      <c r="W131" s="19" t="str">
        <f t="shared" si="7"/>
        <v>4. Alto (Rojo)</v>
      </c>
      <c r="X131" s="19">
        <f>COUNT(T_MEDIDAS[[#This Row],[Edificios públicos]:[Coordinación]])</f>
        <v>2</v>
      </c>
      <c r="Y131" s="19"/>
      <c r="Z131" s="19" t="str">
        <f>IF(T_MEDIDAS[[#This Row],[Edificios públicos]]=1,"Si","No")</f>
        <v>No</v>
      </c>
      <c r="AA131" s="19"/>
      <c r="AB131" s="19" t="str">
        <f>IF(T_MEDIDAS[[#This Row],[Planificación urbana]]=1,"Si","No")</f>
        <v>No</v>
      </c>
      <c r="AC131" s="19"/>
      <c r="AD131" s="19" t="str">
        <f>IF(T_MEDIDAS[[#This Row],[Cultura y deportes]],"Si","No")</f>
        <v>No</v>
      </c>
      <c r="AE131" s="19"/>
      <c r="AF131" s="19" t="str">
        <f>IF(T_MEDIDAS[[#This Row],[Turismo]],"Si","No")</f>
        <v>No</v>
      </c>
      <c r="AG131" s="19"/>
      <c r="AH131" s="19" t="str">
        <f>IF(T_MEDIDAS[[#This Row],[Riesgos laborales]],"Si","No")</f>
        <v>No</v>
      </c>
      <c r="AI131" s="19"/>
      <c r="AJ131" s="19" t="str">
        <f>IF(T_MEDIDAS[[#This Row],[Educación]],"Si","No")</f>
        <v>No</v>
      </c>
      <c r="AK131" s="19"/>
      <c r="AL131" s="19" t="str">
        <f>IF(T_MEDIDAS[[#This Row],[Servicios sociales]],"Si","No")</f>
        <v>No</v>
      </c>
      <c r="AM131" s="19">
        <v>1</v>
      </c>
      <c r="AN131" s="19" t="str">
        <f>IF(T_MEDIDAS[[#This Row],[Servicios de emergencia y policía]],"Si","No")</f>
        <v>Si</v>
      </c>
      <c r="AO131" s="19"/>
      <c r="AP131" s="19" t="str">
        <f>IF(T_MEDIDAS[[#This Row],[Parques y jardines]],"Si","No")</f>
        <v>No</v>
      </c>
      <c r="AQ131" s="19"/>
      <c r="AR131" s="19" t="str">
        <f>IF(T_MEDIDAS[[#This Row],[Transporte]],"Si","No")</f>
        <v>No</v>
      </c>
      <c r="AS131" s="125">
        <v>1</v>
      </c>
      <c r="AT131" s="1" t="str">
        <f>IF(T_MEDIDAS[[#This Row],[Coordinación]],"Si","No")</f>
        <v>Si</v>
      </c>
      <c r="AU131" s="2">
        <v>1</v>
      </c>
      <c r="AV131" s="1">
        <v>1</v>
      </c>
      <c r="AW131" s="1">
        <v>1</v>
      </c>
      <c r="AX131" s="1">
        <v>1</v>
      </c>
      <c r="AY131" s="3">
        <v>1</v>
      </c>
      <c r="AZ131" s="43">
        <f>SUMPRODUCT($AT$15:$AX$15,T_MEDIDAS[[#This Row],[&lt;5.000]:[&gt;100.000]])</f>
        <v>1</v>
      </c>
      <c r="BA131" s="1">
        <v>1</v>
      </c>
      <c r="BB131" s="1">
        <v>1</v>
      </c>
      <c r="BC131" s="1">
        <v>1</v>
      </c>
      <c r="BD131" s="1">
        <v>1</v>
      </c>
      <c r="BE131" s="1">
        <v>1</v>
      </c>
      <c r="BF131" s="1">
        <v>1</v>
      </c>
      <c r="BG131" s="1">
        <v>1</v>
      </c>
      <c r="BH131" s="43" cm="1">
        <f t="array" ref="BH131">SUMPRODUCT(--((T_MEDIDAS[[#This Row],[Centros de salud o asistencia social]:[Escuelas / Centros de educación]] + $AZ$15:$BF$15)&gt;0))</f>
        <v>7</v>
      </c>
      <c r="BI131" s="1">
        <v>0</v>
      </c>
      <c r="BJ131" s="1">
        <v>0</v>
      </c>
      <c r="BK131" s="1">
        <v>2</v>
      </c>
      <c r="BL131" s="1">
        <v>3</v>
      </c>
      <c r="BM131" s="1">
        <v>3</v>
      </c>
      <c r="BN131" s="1">
        <v>2</v>
      </c>
      <c r="BO131" s="1">
        <v>2</v>
      </c>
      <c r="BP131" s="1">
        <v>3</v>
      </c>
      <c r="BQ131" s="47" cm="1">
        <f t="array" ref="BQ131">T_MEDIDAS[[#This Row],[Aplicación tamaño]]*(SUMPRODUCT(T_MEDIDAS[[#This Row],[C1_Refrigeración]:[C8_Tiempo]],TRANSPOSE('2.PONDERACIÓN'!$L$13:$L$20))+(ROW(C131)-ROW($C$18)+1)*0.0000000001)*100</f>
        <v>187.50000113999999</v>
      </c>
      <c r="BR131" s="84"/>
      <c r="BS131" s="90"/>
    </row>
    <row r="132" spans="1:71" ht="34.5" hidden="1">
      <c r="A132" s="84"/>
      <c r="B132" s="90"/>
      <c r="C132" s="84"/>
      <c r="D132" s="43">
        <f>IF(T_MEDIDAS[[#This Row],[Peso Criterios]]&lt;=0,"",_xlfn.RANK.EQ(T_MEDIDAS[[#This Row],[Peso Criterios]],T_MEDIDAS[Peso Criterios]))</f>
        <v>56</v>
      </c>
      <c r="E132" s="116" t="s">
        <v>385</v>
      </c>
      <c r="F132" s="117" t="s">
        <v>72</v>
      </c>
      <c r="G132" s="126" t="s">
        <v>50</v>
      </c>
      <c r="H132" s="126" t="s">
        <v>151</v>
      </c>
      <c r="I132" s="126" t="s">
        <v>386</v>
      </c>
      <c r="J132" s="126"/>
      <c r="K132" s="120"/>
      <c r="L132" s="19"/>
      <c r="M132" s="19"/>
      <c r="N132" s="121" t="str">
        <f t="shared" si="6"/>
        <v>-</v>
      </c>
      <c r="O132" s="122"/>
      <c r="P132" s="122"/>
      <c r="Q132" s="20"/>
      <c r="R132" s="122">
        <v>1</v>
      </c>
      <c r="S132" s="34" t="str">
        <f>IF(T_MEDIDAS[[#This Row],[No risk (0)]]=1,"■","")</f>
        <v/>
      </c>
      <c r="T132" s="35" t="str">
        <f>IF(T_MEDIDAS[[#This Row],[Low risk (1)]]=1,"■","")</f>
        <v/>
      </c>
      <c r="U132" s="36" t="str">
        <f>IF(T_MEDIDAS[[#This Row],[Medidaium risk (2)]]=1,"■","")</f>
        <v/>
      </c>
      <c r="V132" s="81" t="str">
        <f>IF(T_MEDIDAS[[#This Row],[High risk (3)]]=1,"■","")</f>
        <v>■</v>
      </c>
      <c r="W132" s="19" t="str">
        <f t="shared" si="7"/>
        <v>4. Alto (Rojo)</v>
      </c>
      <c r="X132" s="19">
        <f>COUNT(T_MEDIDAS[[#This Row],[Edificios públicos]:[Coordinación]])</f>
        <v>2</v>
      </c>
      <c r="Y132" s="19"/>
      <c r="Z132" s="19" t="str">
        <f>IF(T_MEDIDAS[[#This Row],[Edificios públicos]]=1,"Si","No")</f>
        <v>No</v>
      </c>
      <c r="AA132" s="19"/>
      <c r="AB132" s="19" t="str">
        <f>IF(T_MEDIDAS[[#This Row],[Planificación urbana]]=1,"Si","No")</f>
        <v>No</v>
      </c>
      <c r="AC132" s="19"/>
      <c r="AD132" s="19" t="str">
        <f>IF(T_MEDIDAS[[#This Row],[Cultura y deportes]],"Si","No")</f>
        <v>No</v>
      </c>
      <c r="AE132" s="19"/>
      <c r="AF132" s="19" t="str">
        <f>IF(T_MEDIDAS[[#This Row],[Turismo]],"Si","No")</f>
        <v>No</v>
      </c>
      <c r="AG132" s="19"/>
      <c r="AH132" s="19" t="str">
        <f>IF(T_MEDIDAS[[#This Row],[Riesgos laborales]],"Si","No")</f>
        <v>No</v>
      </c>
      <c r="AI132" s="19"/>
      <c r="AJ132" s="19" t="str">
        <f>IF(T_MEDIDAS[[#This Row],[Educación]],"Si","No")</f>
        <v>No</v>
      </c>
      <c r="AK132" s="19"/>
      <c r="AL132" s="19" t="str">
        <f>IF(T_MEDIDAS[[#This Row],[Servicios sociales]],"Si","No")</f>
        <v>No</v>
      </c>
      <c r="AM132" s="19">
        <v>1</v>
      </c>
      <c r="AN132" s="19" t="str">
        <f>IF(T_MEDIDAS[[#This Row],[Servicios de emergencia y policía]],"Si","No")</f>
        <v>Si</v>
      </c>
      <c r="AO132" s="19"/>
      <c r="AP132" s="19" t="str">
        <f>IF(T_MEDIDAS[[#This Row],[Parques y jardines]],"Si","No")</f>
        <v>No</v>
      </c>
      <c r="AQ132" s="19"/>
      <c r="AR132" s="19" t="str">
        <f>IF(T_MEDIDAS[[#This Row],[Transporte]],"Si","No")</f>
        <v>No</v>
      </c>
      <c r="AS132" s="125">
        <v>1</v>
      </c>
      <c r="AT132" s="1" t="str">
        <f>IF(T_MEDIDAS[[#This Row],[Coordinación]],"Si","No")</f>
        <v>Si</v>
      </c>
      <c r="AU132" s="2">
        <v>1</v>
      </c>
      <c r="AV132" s="1">
        <v>1</v>
      </c>
      <c r="AW132" s="1">
        <v>1</v>
      </c>
      <c r="AX132" s="1">
        <v>1</v>
      </c>
      <c r="AY132" s="3">
        <v>1</v>
      </c>
      <c r="AZ132" s="43">
        <f>SUMPRODUCT($AT$15:$AX$15,T_MEDIDAS[[#This Row],[&lt;5.000]:[&gt;100.000]])</f>
        <v>1</v>
      </c>
      <c r="BA132" s="1">
        <v>1</v>
      </c>
      <c r="BB132" s="1">
        <v>1</v>
      </c>
      <c r="BC132" s="1">
        <v>1</v>
      </c>
      <c r="BD132" s="1">
        <v>1</v>
      </c>
      <c r="BE132" s="1">
        <v>1</v>
      </c>
      <c r="BF132" s="1">
        <v>1</v>
      </c>
      <c r="BG132" s="1">
        <v>1</v>
      </c>
      <c r="BH132" s="43" cm="1">
        <f t="array" ref="BH132">SUMPRODUCT(--((T_MEDIDAS[[#This Row],[Centros de salud o asistencia social]:[Escuelas / Centros de educación]] + $AZ$15:$BF$15)&gt;0))</f>
        <v>7</v>
      </c>
      <c r="BI132" s="44">
        <v>0</v>
      </c>
      <c r="BJ132" s="44">
        <v>0</v>
      </c>
      <c r="BK132" s="44">
        <v>2</v>
      </c>
      <c r="BL132" s="44">
        <v>3</v>
      </c>
      <c r="BM132" s="44">
        <v>3</v>
      </c>
      <c r="BN132" s="44">
        <v>2</v>
      </c>
      <c r="BO132" s="44">
        <v>2</v>
      </c>
      <c r="BP132" s="44">
        <v>3</v>
      </c>
      <c r="BQ132" s="47" cm="1">
        <f t="array" ref="BQ132">T_MEDIDAS[[#This Row],[Aplicación tamaño]]*(SUMPRODUCT(T_MEDIDAS[[#This Row],[C1_Refrigeración]:[C8_Tiempo]],TRANSPOSE('2.PONDERACIÓN'!$L$13:$L$20))+(ROW(C132)-ROW($C$18)+1)*0.0000000001)*100</f>
        <v>187.50000115</v>
      </c>
      <c r="BR132" s="84"/>
      <c r="BS132" s="90"/>
    </row>
    <row r="133" spans="1:71" ht="34.5" hidden="1">
      <c r="A133" s="84"/>
      <c r="B133" s="90"/>
      <c r="C133" s="84"/>
      <c r="D133" s="43">
        <f>IF(T_MEDIDAS[[#This Row],[Peso Criterios]]&lt;=0,"",_xlfn.RANK.EQ(T_MEDIDAS[[#This Row],[Peso Criterios]],T_MEDIDAS[Peso Criterios]))</f>
        <v>83</v>
      </c>
      <c r="E133" s="116" t="s">
        <v>387</v>
      </c>
      <c r="F133" s="117" t="s">
        <v>72</v>
      </c>
      <c r="G133" s="126" t="s">
        <v>50</v>
      </c>
      <c r="H133" s="126" t="s">
        <v>151</v>
      </c>
      <c r="I133" s="126" t="s">
        <v>388</v>
      </c>
      <c r="J133" s="126"/>
      <c r="K133" s="120"/>
      <c r="L133" s="19"/>
      <c r="M133" s="19"/>
      <c r="N133" s="121" t="str">
        <f t="shared" si="6"/>
        <v>-</v>
      </c>
      <c r="O133" s="122"/>
      <c r="P133" s="122"/>
      <c r="Q133" s="20"/>
      <c r="R133" s="122">
        <v>1</v>
      </c>
      <c r="S133" s="34" t="str">
        <f>IF(T_MEDIDAS[[#This Row],[No risk (0)]]=1,"■","")</f>
        <v/>
      </c>
      <c r="T133" s="35" t="str">
        <f>IF(T_MEDIDAS[[#This Row],[Low risk (1)]]=1,"■","")</f>
        <v/>
      </c>
      <c r="U133" s="36" t="str">
        <f>IF(T_MEDIDAS[[#This Row],[Medidaium risk (2)]]=1,"■","")</f>
        <v/>
      </c>
      <c r="V133" s="81" t="str">
        <f>IF(T_MEDIDAS[[#This Row],[High risk (3)]]=1,"■","")</f>
        <v>■</v>
      </c>
      <c r="W133" s="19" t="str">
        <f t="shared" si="7"/>
        <v>4. Alto (Rojo)</v>
      </c>
      <c r="X133" s="19">
        <f>COUNT(T_MEDIDAS[[#This Row],[Edificios públicos]:[Coordinación]])</f>
        <v>2</v>
      </c>
      <c r="Y133" s="19"/>
      <c r="Z133" s="19" t="str">
        <f>IF(T_MEDIDAS[[#This Row],[Edificios públicos]]=1,"Si","No")</f>
        <v>No</v>
      </c>
      <c r="AA133" s="19"/>
      <c r="AB133" s="19" t="str">
        <f>IF(T_MEDIDAS[[#This Row],[Planificación urbana]]=1,"Si","No")</f>
        <v>No</v>
      </c>
      <c r="AC133" s="19"/>
      <c r="AD133" s="19" t="str">
        <f>IF(T_MEDIDAS[[#This Row],[Cultura y deportes]],"Si","No")</f>
        <v>No</v>
      </c>
      <c r="AE133" s="19"/>
      <c r="AF133" s="19" t="str">
        <f>IF(T_MEDIDAS[[#This Row],[Turismo]],"Si","No")</f>
        <v>No</v>
      </c>
      <c r="AG133" s="19"/>
      <c r="AH133" s="19" t="str">
        <f>IF(T_MEDIDAS[[#This Row],[Riesgos laborales]],"Si","No")</f>
        <v>No</v>
      </c>
      <c r="AI133" s="19"/>
      <c r="AJ133" s="19" t="str">
        <f>IF(T_MEDIDAS[[#This Row],[Educación]],"Si","No")</f>
        <v>No</v>
      </c>
      <c r="AK133" s="19"/>
      <c r="AL133" s="19" t="str">
        <f>IF(T_MEDIDAS[[#This Row],[Servicios sociales]],"Si","No")</f>
        <v>No</v>
      </c>
      <c r="AM133" s="19">
        <v>1</v>
      </c>
      <c r="AN133" s="19" t="str">
        <f>IF(T_MEDIDAS[[#This Row],[Servicios de emergencia y policía]],"Si","No")</f>
        <v>Si</v>
      </c>
      <c r="AO133" s="19"/>
      <c r="AP133" s="19" t="str">
        <f>IF(T_MEDIDAS[[#This Row],[Parques y jardines]],"Si","No")</f>
        <v>No</v>
      </c>
      <c r="AQ133" s="19"/>
      <c r="AR133" s="19" t="str">
        <f>IF(T_MEDIDAS[[#This Row],[Transporte]],"Si","No")</f>
        <v>No</v>
      </c>
      <c r="AS133" s="125">
        <v>1</v>
      </c>
      <c r="AT133" s="1" t="str">
        <f>IF(T_MEDIDAS[[#This Row],[Coordinación]],"Si","No")</f>
        <v>Si</v>
      </c>
      <c r="AU133" s="2">
        <v>1</v>
      </c>
      <c r="AV133" s="1">
        <v>1</v>
      </c>
      <c r="AW133" s="1">
        <v>1</v>
      </c>
      <c r="AX133" s="1">
        <v>1</v>
      </c>
      <c r="AY133" s="3">
        <v>1</v>
      </c>
      <c r="AZ133" s="43">
        <f>SUMPRODUCT($AT$15:$AX$15,T_MEDIDAS[[#This Row],[&lt;5.000]:[&gt;100.000]])</f>
        <v>1</v>
      </c>
      <c r="BA133" s="1">
        <v>1</v>
      </c>
      <c r="BB133" s="1">
        <v>1</v>
      </c>
      <c r="BC133" s="1">
        <v>1</v>
      </c>
      <c r="BD133" s="1">
        <v>1</v>
      </c>
      <c r="BE133" s="1">
        <v>1</v>
      </c>
      <c r="BF133" s="1">
        <v>1</v>
      </c>
      <c r="BG133" s="1">
        <v>1</v>
      </c>
      <c r="BH133" s="43" cm="1">
        <f t="array" ref="BH133">SUMPRODUCT(--((T_MEDIDAS[[#This Row],[Centros de salud o asistencia social]:[Escuelas / Centros de educación]] + $AZ$15:$BF$15)&gt;0))</f>
        <v>7</v>
      </c>
      <c r="BI133" s="1">
        <v>0</v>
      </c>
      <c r="BJ133" s="1">
        <v>0</v>
      </c>
      <c r="BK133" s="1">
        <v>2</v>
      </c>
      <c r="BL133" s="1">
        <v>3</v>
      </c>
      <c r="BM133" s="1">
        <v>3</v>
      </c>
      <c r="BN133" s="1">
        <v>2</v>
      </c>
      <c r="BO133" s="1">
        <v>2</v>
      </c>
      <c r="BP133" s="1">
        <v>2</v>
      </c>
      <c r="BQ133" s="47" cm="1">
        <f t="array" ref="BQ133">T_MEDIDAS[[#This Row],[Aplicación tamaño]]*(SUMPRODUCT(T_MEDIDAS[[#This Row],[C1_Refrigeración]:[C8_Tiempo]],TRANSPOSE('2.PONDERACIÓN'!$L$13:$L$20))+(ROW(C133)-ROW($C$18)+1)*0.0000000001)*100</f>
        <v>175.00000116000001</v>
      </c>
      <c r="BR133" s="84"/>
      <c r="BS133" s="90"/>
    </row>
    <row r="134" spans="1:71" ht="34.5">
      <c r="A134" s="84"/>
      <c r="B134" s="90"/>
      <c r="C134" s="84"/>
      <c r="D134" s="43">
        <f>IF(T_MEDIDAS[[#This Row],[Peso Criterios]]&lt;=0,"",_xlfn.RANK.EQ(T_MEDIDAS[[#This Row],[Peso Criterios]],T_MEDIDAS[Peso Criterios]))</f>
        <v>55</v>
      </c>
      <c r="E134" s="116" t="s">
        <v>389</v>
      </c>
      <c r="F134" s="117" t="s">
        <v>70</v>
      </c>
      <c r="G134" s="117" t="s">
        <v>50</v>
      </c>
      <c r="H134" s="117" t="s">
        <v>160</v>
      </c>
      <c r="I134" s="117" t="s">
        <v>390</v>
      </c>
      <c r="J134" s="117"/>
      <c r="K134" s="120">
        <v>1</v>
      </c>
      <c r="L134" s="19"/>
      <c r="M134" s="19"/>
      <c r="N134" s="121" t="str">
        <f t="shared" si="6"/>
        <v>€</v>
      </c>
      <c r="O134" s="122"/>
      <c r="P134" s="122">
        <v>1</v>
      </c>
      <c r="Q134" s="20">
        <v>1</v>
      </c>
      <c r="R134" s="122">
        <v>1</v>
      </c>
      <c r="S134" s="34" t="str">
        <f>IF(T_MEDIDAS[[#This Row],[No risk (0)]]=1,"■","")</f>
        <v/>
      </c>
      <c r="T134" s="35" t="str">
        <f>IF(T_MEDIDAS[[#This Row],[Low risk (1)]]=1,"■","")</f>
        <v>■</v>
      </c>
      <c r="U134" s="36" t="str">
        <f>IF(T_MEDIDAS[[#This Row],[Medidaium risk (2)]]=1,"■","")</f>
        <v>■</v>
      </c>
      <c r="V134" s="81" t="str">
        <f>IF(T_MEDIDAS[[#This Row],[High risk (3)]]=1,"■","")</f>
        <v>■</v>
      </c>
      <c r="W134" s="19" t="str">
        <f t="shared" si="7"/>
        <v>4. Alto (Rojo)</v>
      </c>
      <c r="X134" s="19">
        <f>COUNT(T_MEDIDAS[[#This Row],[Edificios públicos]:[Coordinación]])</f>
        <v>2</v>
      </c>
      <c r="Y134" s="19">
        <v>1</v>
      </c>
      <c r="Z134" s="19" t="str">
        <f>IF(T_MEDIDAS[[#This Row],[Edificios públicos]]=1,"Si","No")</f>
        <v>Si</v>
      </c>
      <c r="AA134" s="19"/>
      <c r="AB134" s="19" t="str">
        <f>IF(T_MEDIDAS[[#This Row],[Planificación urbana]]=1,"Si","No")</f>
        <v>No</v>
      </c>
      <c r="AC134" s="19"/>
      <c r="AD134" s="19" t="str">
        <f>IF(T_MEDIDAS[[#This Row],[Cultura y deportes]],"Si","No")</f>
        <v>No</v>
      </c>
      <c r="AE134" s="19"/>
      <c r="AF134" s="19" t="str">
        <f>IF(T_MEDIDAS[[#This Row],[Turismo]],"Si","No")</f>
        <v>No</v>
      </c>
      <c r="AG134" s="19"/>
      <c r="AH134" s="19" t="str">
        <f>IF(T_MEDIDAS[[#This Row],[Riesgos laborales]],"Si","No")</f>
        <v>No</v>
      </c>
      <c r="AI134" s="19"/>
      <c r="AJ134" s="19" t="str">
        <f>IF(T_MEDIDAS[[#This Row],[Educación]],"Si","No")</f>
        <v>No</v>
      </c>
      <c r="AK134" s="19">
        <v>1</v>
      </c>
      <c r="AL134" s="19" t="str">
        <f>IF(T_MEDIDAS[[#This Row],[Servicios sociales]],"Si","No")</f>
        <v>Si</v>
      </c>
      <c r="AM134" s="19"/>
      <c r="AN134" s="19" t="str">
        <f>IF(T_MEDIDAS[[#This Row],[Servicios de emergencia y policía]],"Si","No")</f>
        <v>No</v>
      </c>
      <c r="AO134" s="19"/>
      <c r="AP134" s="19" t="str">
        <f>IF(T_MEDIDAS[[#This Row],[Parques y jardines]],"Si","No")</f>
        <v>No</v>
      </c>
      <c r="AQ134" s="19"/>
      <c r="AR134" s="19" t="str">
        <f>IF(T_MEDIDAS[[#This Row],[Transporte]],"Si","No")</f>
        <v>No</v>
      </c>
      <c r="AS134" s="125"/>
      <c r="AT134" s="1" t="str">
        <f>IF(T_MEDIDAS[[#This Row],[Coordinación]],"Si","No")</f>
        <v>No</v>
      </c>
      <c r="AU134" s="2">
        <v>1</v>
      </c>
      <c r="AV134" s="1">
        <v>1</v>
      </c>
      <c r="AW134" s="1">
        <v>1</v>
      </c>
      <c r="AX134" s="1">
        <v>1</v>
      </c>
      <c r="AY134" s="3">
        <v>1</v>
      </c>
      <c r="AZ134" s="43">
        <f>SUMPRODUCT($AT$15:$AX$15,T_MEDIDAS[[#This Row],[&lt;5.000]:[&gt;100.000]])</f>
        <v>1</v>
      </c>
      <c r="BA134" s="1"/>
      <c r="BB134" s="1">
        <v>1</v>
      </c>
      <c r="BC134" s="1">
        <v>1</v>
      </c>
      <c r="BD134" s="1">
        <v>1</v>
      </c>
      <c r="BE134" s="1">
        <v>1</v>
      </c>
      <c r="BF134" s="1">
        <v>1</v>
      </c>
      <c r="BG134" s="1">
        <v>1</v>
      </c>
      <c r="BH134" s="43" cm="1">
        <f t="array" ref="BH134">SUMPRODUCT(--((T_MEDIDAS[[#This Row],[Centros de salud o asistencia social]:[Escuelas / Centros de educación]] + $AZ$15:$BF$15)&gt;0))</f>
        <v>6</v>
      </c>
      <c r="BI134" s="44">
        <v>0</v>
      </c>
      <c r="BJ134" s="44">
        <v>0</v>
      </c>
      <c r="BK134" s="44">
        <v>2</v>
      </c>
      <c r="BL134" s="44">
        <v>3</v>
      </c>
      <c r="BM134" s="44">
        <v>2</v>
      </c>
      <c r="BN134" s="44">
        <v>2</v>
      </c>
      <c r="BO134" s="44">
        <v>3</v>
      </c>
      <c r="BP134" s="44">
        <v>3</v>
      </c>
      <c r="BQ134" s="47" cm="1">
        <f t="array" ref="BQ134">T_MEDIDAS[[#This Row],[Aplicación tamaño]]*(SUMPRODUCT(T_MEDIDAS[[#This Row],[C1_Refrigeración]:[C8_Tiempo]],TRANSPOSE('2.PONDERACIÓN'!$L$13:$L$20))+(ROW(C134)-ROW($C$18)+1)*0.0000000001)*100</f>
        <v>187.50000117000002</v>
      </c>
      <c r="BR134" s="84"/>
      <c r="BS134" s="90"/>
    </row>
    <row r="135" spans="1:71" ht="34.5">
      <c r="A135" s="84"/>
      <c r="B135" s="90"/>
      <c r="C135" s="84"/>
      <c r="D135" s="43">
        <f>IF(T_MEDIDAS[[#This Row],[Peso Criterios]]&lt;=0,"",_xlfn.RANK.EQ(T_MEDIDAS[[#This Row],[Peso Criterios]],T_MEDIDAS[Peso Criterios]))</f>
        <v>54</v>
      </c>
      <c r="E135" s="116" t="s">
        <v>391</v>
      </c>
      <c r="F135" s="117" t="s">
        <v>70</v>
      </c>
      <c r="G135" s="117" t="s">
        <v>53</v>
      </c>
      <c r="H135" s="117" t="s">
        <v>392</v>
      </c>
      <c r="I135" s="117" t="s">
        <v>393</v>
      </c>
      <c r="J135" s="117"/>
      <c r="K135" s="120">
        <v>1</v>
      </c>
      <c r="L135" s="19">
        <v>1</v>
      </c>
      <c r="M135" s="19"/>
      <c r="N135" s="121" t="str">
        <f t="shared" si="6"/>
        <v>€€</v>
      </c>
      <c r="O135" s="122">
        <v>1</v>
      </c>
      <c r="P135" s="122">
        <v>1</v>
      </c>
      <c r="Q135" s="20">
        <v>1</v>
      </c>
      <c r="R135" s="122">
        <v>1</v>
      </c>
      <c r="S135" s="34" t="str">
        <f>IF(T_MEDIDAS[[#This Row],[No risk (0)]]=1,"■","")</f>
        <v>■</v>
      </c>
      <c r="T135" s="35" t="str">
        <f>IF(T_MEDIDAS[[#This Row],[Low risk (1)]]=1,"■","")</f>
        <v>■</v>
      </c>
      <c r="U135" s="36" t="str">
        <f>IF(T_MEDIDAS[[#This Row],[Medidaium risk (2)]]=1,"■","")</f>
        <v>■</v>
      </c>
      <c r="V135" s="81" t="str">
        <f>IF(T_MEDIDAS[[#This Row],[High risk (3)]]=1,"■","")</f>
        <v>■</v>
      </c>
      <c r="W135" s="19" t="str">
        <f t="shared" si="7"/>
        <v>4. Alto (Rojo)</v>
      </c>
      <c r="X135" s="19">
        <f>COUNT(T_MEDIDAS[[#This Row],[Edificios públicos]:[Coordinación]])</f>
        <v>2</v>
      </c>
      <c r="Y135" s="19">
        <v>1</v>
      </c>
      <c r="Z135" s="19" t="str">
        <f>IF(T_MEDIDAS[[#This Row],[Edificios públicos]]=1,"Si","No")</f>
        <v>Si</v>
      </c>
      <c r="AA135" s="19"/>
      <c r="AB135" s="19" t="str">
        <f>IF(T_MEDIDAS[[#This Row],[Planificación urbana]]=1,"Si","No")</f>
        <v>No</v>
      </c>
      <c r="AC135" s="19"/>
      <c r="AD135" s="19" t="str">
        <f>IF(T_MEDIDAS[[#This Row],[Cultura y deportes]],"Si","No")</f>
        <v>No</v>
      </c>
      <c r="AE135" s="19"/>
      <c r="AF135" s="19" t="str">
        <f>IF(T_MEDIDAS[[#This Row],[Turismo]],"Si","No")</f>
        <v>No</v>
      </c>
      <c r="AG135" s="19"/>
      <c r="AH135" s="19" t="str">
        <f>IF(T_MEDIDAS[[#This Row],[Riesgos laborales]],"Si","No")</f>
        <v>No</v>
      </c>
      <c r="AI135" s="19"/>
      <c r="AJ135" s="19" t="str">
        <f>IF(T_MEDIDAS[[#This Row],[Educación]],"Si","No")</f>
        <v>No</v>
      </c>
      <c r="AK135" s="19"/>
      <c r="AL135" s="19" t="str">
        <f>IF(T_MEDIDAS[[#This Row],[Servicios sociales]],"Si","No")</f>
        <v>No</v>
      </c>
      <c r="AM135" s="19"/>
      <c r="AN135" s="19" t="str">
        <f>IF(T_MEDIDAS[[#This Row],[Servicios de emergencia y policía]],"Si","No")</f>
        <v>No</v>
      </c>
      <c r="AO135" s="19">
        <v>1</v>
      </c>
      <c r="AP135" s="19" t="str">
        <f>IF(T_MEDIDAS[[#This Row],[Parques y jardines]],"Si","No")</f>
        <v>Si</v>
      </c>
      <c r="AQ135" s="19"/>
      <c r="AR135" s="19" t="str">
        <f>IF(T_MEDIDAS[[#This Row],[Transporte]],"Si","No")</f>
        <v>No</v>
      </c>
      <c r="AS135" s="125"/>
      <c r="AT135" s="1" t="str">
        <f>IF(T_MEDIDAS[[#This Row],[Coordinación]],"Si","No")</f>
        <v>No</v>
      </c>
      <c r="AU135" s="2"/>
      <c r="AV135" s="1">
        <v>1</v>
      </c>
      <c r="AW135" s="1">
        <v>1</v>
      </c>
      <c r="AX135" s="1">
        <v>1</v>
      </c>
      <c r="AY135" s="3">
        <v>1</v>
      </c>
      <c r="AZ135" s="43">
        <f>SUMPRODUCT($AT$15:$AX$15,T_MEDIDAS[[#This Row],[&lt;5.000]:[&gt;100.000]])</f>
        <v>1</v>
      </c>
      <c r="BA135" s="1">
        <v>1</v>
      </c>
      <c r="BB135" s="1">
        <v>1</v>
      </c>
      <c r="BC135" s="1">
        <v>1</v>
      </c>
      <c r="BD135" s="1">
        <v>1</v>
      </c>
      <c r="BE135" s="1">
        <v>1</v>
      </c>
      <c r="BF135" s="1">
        <v>1</v>
      </c>
      <c r="BG135" s="1">
        <v>1</v>
      </c>
      <c r="BH135" s="43" cm="1">
        <f t="array" ref="BH135">SUMPRODUCT(--((T_MEDIDAS[[#This Row],[Centros de salud o asistencia social]:[Escuelas / Centros de educación]] + $AZ$15:$BF$15)&gt;0))</f>
        <v>7</v>
      </c>
      <c r="BI135" s="1">
        <v>0</v>
      </c>
      <c r="BJ135" s="1">
        <v>0</v>
      </c>
      <c r="BK135" s="1">
        <v>2</v>
      </c>
      <c r="BL135" s="1">
        <v>3</v>
      </c>
      <c r="BM135" s="1">
        <v>2</v>
      </c>
      <c r="BN135" s="1">
        <v>2</v>
      </c>
      <c r="BO135" s="1">
        <v>3</v>
      </c>
      <c r="BP135" s="1">
        <v>3</v>
      </c>
      <c r="BQ135" s="47" cm="1">
        <f t="array" ref="BQ135">T_MEDIDAS[[#This Row],[Aplicación tamaño]]*(SUMPRODUCT(T_MEDIDAS[[#This Row],[C1_Refrigeración]:[C8_Tiempo]],TRANSPOSE('2.PONDERACIÓN'!$L$13:$L$20))+(ROW(C135)-ROW($C$18)+1)*0.0000000001)*100</f>
        <v>187.50000118</v>
      </c>
      <c r="BR135" s="84"/>
      <c r="BS135" s="90"/>
    </row>
    <row r="136" spans="1:71" ht="43.5">
      <c r="A136" s="84"/>
      <c r="B136" s="90"/>
      <c r="C136" s="84"/>
      <c r="D136" s="43">
        <f>IF(T_MEDIDAS[[#This Row],[Peso Criterios]]&lt;=0,"",_xlfn.RANK.EQ(T_MEDIDAS[[#This Row],[Peso Criterios]],T_MEDIDAS[Peso Criterios]))</f>
        <v>17</v>
      </c>
      <c r="E136" s="116" t="s">
        <v>394</v>
      </c>
      <c r="F136" s="117" t="s">
        <v>70</v>
      </c>
      <c r="G136" s="117" t="s">
        <v>50</v>
      </c>
      <c r="H136" s="117" t="s">
        <v>151</v>
      </c>
      <c r="I136" s="117" t="s">
        <v>395</v>
      </c>
      <c r="J136" s="117"/>
      <c r="K136" s="120">
        <v>1</v>
      </c>
      <c r="L136" s="19"/>
      <c r="M136" s="19"/>
      <c r="N136" s="121" t="str">
        <f t="shared" si="6"/>
        <v>€</v>
      </c>
      <c r="O136" s="122"/>
      <c r="P136" s="122">
        <v>1</v>
      </c>
      <c r="Q136" s="20">
        <v>1</v>
      </c>
      <c r="R136" s="122"/>
      <c r="S136" s="34" t="str">
        <f>IF(T_MEDIDAS[[#This Row],[No risk (0)]]=1,"■","")</f>
        <v/>
      </c>
      <c r="T136" s="35" t="str">
        <f>IF(T_MEDIDAS[[#This Row],[Low risk (1)]]=1,"■","")</f>
        <v>■</v>
      </c>
      <c r="U136" s="36" t="str">
        <f>IF(T_MEDIDAS[[#This Row],[Medidaium risk (2)]]=1,"■","")</f>
        <v>■</v>
      </c>
      <c r="V136" s="81" t="str">
        <f>IF(T_MEDIDAS[[#This Row],[High risk (3)]]=1,"■","")</f>
        <v/>
      </c>
      <c r="W136" s="19" t="str">
        <f t="shared" si="7"/>
        <v>3. Medio (Naranja)</v>
      </c>
      <c r="X136" s="19">
        <f>COUNT(T_MEDIDAS[[#This Row],[Edificios públicos]:[Coordinación]])</f>
        <v>1</v>
      </c>
      <c r="Y136" s="19"/>
      <c r="Z136" s="19" t="str">
        <f>IF(T_MEDIDAS[[#This Row],[Edificios públicos]]=1,"Si","No")</f>
        <v>No</v>
      </c>
      <c r="AA136" s="19"/>
      <c r="AB136" s="19" t="str">
        <f>IF(T_MEDIDAS[[#This Row],[Planificación urbana]]=1,"Si","No")</f>
        <v>No</v>
      </c>
      <c r="AC136" s="19"/>
      <c r="AD136" s="19" t="str">
        <f>IF(T_MEDIDAS[[#This Row],[Cultura y deportes]],"Si","No")</f>
        <v>No</v>
      </c>
      <c r="AE136" s="19"/>
      <c r="AF136" s="19" t="str">
        <f>IF(T_MEDIDAS[[#This Row],[Turismo]],"Si","No")</f>
        <v>No</v>
      </c>
      <c r="AG136" s="19"/>
      <c r="AH136" s="19" t="str">
        <f>IF(T_MEDIDAS[[#This Row],[Riesgos laborales]],"Si","No")</f>
        <v>No</v>
      </c>
      <c r="AI136" s="19">
        <v>1</v>
      </c>
      <c r="AJ136" s="19" t="str">
        <f>IF(T_MEDIDAS[[#This Row],[Educación]],"Si","No")</f>
        <v>Si</v>
      </c>
      <c r="AK136" s="19"/>
      <c r="AL136" s="19" t="str">
        <f>IF(T_MEDIDAS[[#This Row],[Servicios sociales]],"Si","No")</f>
        <v>No</v>
      </c>
      <c r="AM136" s="19"/>
      <c r="AN136" s="19" t="str">
        <f>IF(T_MEDIDAS[[#This Row],[Servicios de emergencia y policía]],"Si","No")</f>
        <v>No</v>
      </c>
      <c r="AO136" s="19"/>
      <c r="AP136" s="19" t="str">
        <f>IF(T_MEDIDAS[[#This Row],[Parques y jardines]],"Si","No")</f>
        <v>No</v>
      </c>
      <c r="AQ136" s="19"/>
      <c r="AR136" s="19" t="str">
        <f>IF(T_MEDIDAS[[#This Row],[Transporte]],"Si","No")</f>
        <v>No</v>
      </c>
      <c r="AS136" s="125"/>
      <c r="AT136" s="1" t="str">
        <f>IF(T_MEDIDAS[[#This Row],[Coordinación]],"Si","No")</f>
        <v>No</v>
      </c>
      <c r="AU136" s="2">
        <v>1</v>
      </c>
      <c r="AV136" s="1">
        <v>1</v>
      </c>
      <c r="AW136" s="1">
        <v>1</v>
      </c>
      <c r="AX136" s="1">
        <v>1</v>
      </c>
      <c r="AY136" s="3">
        <v>1</v>
      </c>
      <c r="AZ136" s="43">
        <f>SUMPRODUCT($AT$15:$AX$15,T_MEDIDAS[[#This Row],[&lt;5.000]:[&gt;100.000]])</f>
        <v>1</v>
      </c>
      <c r="BA136" s="1">
        <v>1</v>
      </c>
      <c r="BB136" s="1">
        <v>1</v>
      </c>
      <c r="BC136" s="1">
        <v>1</v>
      </c>
      <c r="BD136" s="1">
        <v>1</v>
      </c>
      <c r="BE136" s="1">
        <v>1</v>
      </c>
      <c r="BF136" s="1">
        <v>1</v>
      </c>
      <c r="BG136" s="1"/>
      <c r="BH136" s="43" cm="1">
        <f t="array" ref="BH136">SUMPRODUCT(--((T_MEDIDAS[[#This Row],[Centros de salud o asistencia social]:[Escuelas / Centros de educación]] + $AZ$15:$BF$15)&gt;0))</f>
        <v>6</v>
      </c>
      <c r="BI136" s="44">
        <v>0</v>
      </c>
      <c r="BJ136" s="44">
        <v>0</v>
      </c>
      <c r="BK136" s="44">
        <v>3</v>
      </c>
      <c r="BL136" s="44">
        <v>2</v>
      </c>
      <c r="BM136" s="44">
        <v>3</v>
      </c>
      <c r="BN136" s="44">
        <v>2</v>
      </c>
      <c r="BO136" s="44">
        <v>3</v>
      </c>
      <c r="BP136" s="44">
        <v>3</v>
      </c>
      <c r="BQ136" s="47" cm="1">
        <f t="array" ref="BQ136">T_MEDIDAS[[#This Row],[Aplicación tamaño]]*(SUMPRODUCT(T_MEDIDAS[[#This Row],[C1_Refrigeración]:[C8_Tiempo]],TRANSPOSE('2.PONDERACIÓN'!$L$13:$L$20))+(ROW(C136)-ROW($C$18)+1)*0.0000000001)*100</f>
        <v>200.00000119000001</v>
      </c>
      <c r="BR136" s="84"/>
      <c r="BS136" s="90"/>
    </row>
    <row r="137" spans="1:71" ht="34.5">
      <c r="A137" s="84"/>
      <c r="B137" s="90"/>
      <c r="C137" s="84"/>
      <c r="D137" s="43">
        <f>IF(T_MEDIDAS[[#This Row],[Peso Criterios]]&lt;=0,"",_xlfn.RANK.EQ(T_MEDIDAS[[#This Row],[Peso Criterios]],T_MEDIDAS[Peso Criterios]))</f>
        <v>16</v>
      </c>
      <c r="E137" s="116" t="s">
        <v>396</v>
      </c>
      <c r="F137" s="117" t="s">
        <v>70</v>
      </c>
      <c r="G137" s="117" t="s">
        <v>50</v>
      </c>
      <c r="H137" s="117" t="s">
        <v>160</v>
      </c>
      <c r="I137" s="117" t="s">
        <v>397</v>
      </c>
      <c r="J137" s="117"/>
      <c r="K137" s="120">
        <v>1</v>
      </c>
      <c r="L137" s="19"/>
      <c r="M137" s="19"/>
      <c r="N137" s="121" t="str">
        <f t="shared" si="6"/>
        <v>€</v>
      </c>
      <c r="O137" s="122"/>
      <c r="P137" s="122">
        <v>1</v>
      </c>
      <c r="Q137" s="20">
        <v>1</v>
      </c>
      <c r="R137" s="122"/>
      <c r="S137" s="34" t="str">
        <f>IF(T_MEDIDAS[[#This Row],[No risk (0)]]=1,"■","")</f>
        <v/>
      </c>
      <c r="T137" s="35" t="str">
        <f>IF(T_MEDIDAS[[#This Row],[Low risk (1)]]=1,"■","")</f>
        <v>■</v>
      </c>
      <c r="U137" s="36" t="str">
        <f>IF(T_MEDIDAS[[#This Row],[Medidaium risk (2)]]=1,"■","")</f>
        <v>■</v>
      </c>
      <c r="V137" s="81" t="str">
        <f>IF(T_MEDIDAS[[#This Row],[High risk (3)]]=1,"■","")</f>
        <v/>
      </c>
      <c r="W137" s="19" t="str">
        <f t="shared" si="7"/>
        <v>3. Medio (Naranja)</v>
      </c>
      <c r="X137" s="19">
        <f>COUNT(T_MEDIDAS[[#This Row],[Edificios públicos]:[Coordinación]])</f>
        <v>1</v>
      </c>
      <c r="Y137" s="19"/>
      <c r="Z137" s="19" t="str">
        <f>IF(T_MEDIDAS[[#This Row],[Edificios públicos]]=1,"Si","No")</f>
        <v>No</v>
      </c>
      <c r="AA137" s="19"/>
      <c r="AB137" s="19" t="str">
        <f>IF(T_MEDIDAS[[#This Row],[Planificación urbana]]=1,"Si","No")</f>
        <v>No</v>
      </c>
      <c r="AC137" s="19"/>
      <c r="AD137" s="19" t="str">
        <f>IF(T_MEDIDAS[[#This Row],[Cultura y deportes]],"Si","No")</f>
        <v>No</v>
      </c>
      <c r="AE137" s="19"/>
      <c r="AF137" s="19" t="str">
        <f>IF(T_MEDIDAS[[#This Row],[Turismo]],"Si","No")</f>
        <v>No</v>
      </c>
      <c r="AG137" s="19"/>
      <c r="AH137" s="19" t="str">
        <f>IF(T_MEDIDAS[[#This Row],[Riesgos laborales]],"Si","No")</f>
        <v>No</v>
      </c>
      <c r="AI137" s="19">
        <v>1</v>
      </c>
      <c r="AJ137" s="19" t="str">
        <f>IF(T_MEDIDAS[[#This Row],[Educación]],"Si","No")</f>
        <v>Si</v>
      </c>
      <c r="AK137" s="19"/>
      <c r="AL137" s="19" t="str">
        <f>IF(T_MEDIDAS[[#This Row],[Servicios sociales]],"Si","No")</f>
        <v>No</v>
      </c>
      <c r="AM137" s="19"/>
      <c r="AN137" s="19" t="str">
        <f>IF(T_MEDIDAS[[#This Row],[Servicios de emergencia y policía]],"Si","No")</f>
        <v>No</v>
      </c>
      <c r="AO137" s="19"/>
      <c r="AP137" s="19" t="str">
        <f>IF(T_MEDIDAS[[#This Row],[Parques y jardines]],"Si","No")</f>
        <v>No</v>
      </c>
      <c r="AQ137" s="19"/>
      <c r="AR137" s="19" t="str">
        <f>IF(T_MEDIDAS[[#This Row],[Transporte]],"Si","No")</f>
        <v>No</v>
      </c>
      <c r="AS137" s="125"/>
      <c r="AT137" s="1" t="str">
        <f>IF(T_MEDIDAS[[#This Row],[Coordinación]],"Si","No")</f>
        <v>No</v>
      </c>
      <c r="AU137" s="2">
        <v>1</v>
      </c>
      <c r="AV137" s="1">
        <v>1</v>
      </c>
      <c r="AW137" s="1">
        <v>1</v>
      </c>
      <c r="AX137" s="1">
        <v>1</v>
      </c>
      <c r="AY137" s="3">
        <v>1</v>
      </c>
      <c r="AZ137" s="43">
        <f>SUMPRODUCT($AT$15:$AX$15,T_MEDIDAS[[#This Row],[&lt;5.000]:[&gt;100.000]])</f>
        <v>1</v>
      </c>
      <c r="BA137" s="1">
        <v>1</v>
      </c>
      <c r="BB137" s="1">
        <v>1</v>
      </c>
      <c r="BC137" s="1">
        <v>1</v>
      </c>
      <c r="BD137" s="1">
        <v>1</v>
      </c>
      <c r="BE137" s="1">
        <v>1</v>
      </c>
      <c r="BF137" s="1">
        <v>1</v>
      </c>
      <c r="BG137" s="1"/>
      <c r="BH137" s="43" cm="1">
        <f t="array" ref="BH137">SUMPRODUCT(--((T_MEDIDAS[[#This Row],[Centros de salud o asistencia social]:[Escuelas / Centros de educación]] + $AZ$15:$BF$15)&gt;0))</f>
        <v>6</v>
      </c>
      <c r="BI137" s="1">
        <v>0</v>
      </c>
      <c r="BJ137" s="1">
        <v>0</v>
      </c>
      <c r="BK137" s="1">
        <v>3</v>
      </c>
      <c r="BL137" s="1">
        <v>2</v>
      </c>
      <c r="BM137" s="1">
        <v>3</v>
      </c>
      <c r="BN137" s="1">
        <v>2</v>
      </c>
      <c r="BO137" s="1">
        <v>3</v>
      </c>
      <c r="BP137" s="1">
        <v>3</v>
      </c>
      <c r="BQ137" s="47" cm="1">
        <f t="array" ref="BQ137">T_MEDIDAS[[#This Row],[Aplicación tamaño]]*(SUMPRODUCT(T_MEDIDAS[[#This Row],[C1_Refrigeración]:[C8_Tiempo]],TRANSPOSE('2.PONDERACIÓN'!$L$13:$L$20))+(ROW(C137)-ROW($C$18)+1)*0.0000000001)*100</f>
        <v>200.00000120000001</v>
      </c>
      <c r="BR137" s="84"/>
      <c r="BS137" s="90"/>
    </row>
    <row r="138" spans="1:71" ht="34.5">
      <c r="A138" s="84"/>
      <c r="B138" s="90"/>
      <c r="C138" s="84"/>
      <c r="D138" s="43">
        <f>IF(T_MEDIDAS[[#This Row],[Peso Criterios]]&lt;=0,"",_xlfn.RANK.EQ(T_MEDIDAS[[#This Row],[Peso Criterios]],T_MEDIDAS[Peso Criterios]))</f>
        <v>15</v>
      </c>
      <c r="E138" s="116" t="s">
        <v>398</v>
      </c>
      <c r="F138" s="117" t="s">
        <v>70</v>
      </c>
      <c r="G138" s="117" t="s">
        <v>50</v>
      </c>
      <c r="H138" s="117" t="s">
        <v>151</v>
      </c>
      <c r="I138" s="117" t="s">
        <v>399</v>
      </c>
      <c r="J138" s="117"/>
      <c r="K138" s="120">
        <v>1</v>
      </c>
      <c r="L138" s="19"/>
      <c r="M138" s="19"/>
      <c r="N138" s="121" t="str">
        <f t="shared" si="6"/>
        <v>€</v>
      </c>
      <c r="O138" s="122"/>
      <c r="P138" s="122"/>
      <c r="Q138" s="20">
        <v>1</v>
      </c>
      <c r="R138" s="122">
        <v>1</v>
      </c>
      <c r="S138" s="34" t="str">
        <f>IF(T_MEDIDAS[[#This Row],[No risk (0)]]=1,"■","")</f>
        <v/>
      </c>
      <c r="T138" s="35" t="str">
        <f>IF(T_MEDIDAS[[#This Row],[Low risk (1)]]=1,"■","")</f>
        <v/>
      </c>
      <c r="U138" s="36" t="str">
        <f>IF(T_MEDIDAS[[#This Row],[Medidaium risk (2)]]=1,"■","")</f>
        <v>■</v>
      </c>
      <c r="V138" s="81" t="str">
        <f>IF(T_MEDIDAS[[#This Row],[High risk (3)]]=1,"■","")</f>
        <v>■</v>
      </c>
      <c r="W138" s="19" t="str">
        <f t="shared" si="7"/>
        <v>4. Alto (Rojo)</v>
      </c>
      <c r="X138" s="19">
        <f>COUNT(T_MEDIDAS[[#This Row],[Edificios públicos]:[Coordinación]])</f>
        <v>1</v>
      </c>
      <c r="Y138" s="19"/>
      <c r="Z138" s="19" t="str">
        <f>IF(T_MEDIDAS[[#This Row],[Edificios públicos]]=1,"Si","No")</f>
        <v>No</v>
      </c>
      <c r="AA138" s="19"/>
      <c r="AB138" s="19" t="str">
        <f>IF(T_MEDIDAS[[#This Row],[Planificación urbana]]=1,"Si","No")</f>
        <v>No</v>
      </c>
      <c r="AC138" s="19"/>
      <c r="AD138" s="19" t="str">
        <f>IF(T_MEDIDAS[[#This Row],[Cultura y deportes]],"Si","No")</f>
        <v>No</v>
      </c>
      <c r="AE138" s="19"/>
      <c r="AF138" s="19" t="str">
        <f>IF(T_MEDIDAS[[#This Row],[Turismo]],"Si","No")</f>
        <v>No</v>
      </c>
      <c r="AG138" s="19"/>
      <c r="AH138" s="19" t="str">
        <f>IF(T_MEDIDAS[[#This Row],[Riesgos laborales]],"Si","No")</f>
        <v>No</v>
      </c>
      <c r="AI138" s="19"/>
      <c r="AJ138" s="19" t="str">
        <f>IF(T_MEDIDAS[[#This Row],[Educación]],"Si","No")</f>
        <v>No</v>
      </c>
      <c r="AK138" s="19"/>
      <c r="AL138" s="19" t="str">
        <f>IF(T_MEDIDAS[[#This Row],[Servicios sociales]],"Si","No")</f>
        <v>No</v>
      </c>
      <c r="AM138" s="19"/>
      <c r="AN138" s="19" t="str">
        <f>IF(T_MEDIDAS[[#This Row],[Servicios de emergencia y policía]],"Si","No")</f>
        <v>No</v>
      </c>
      <c r="AO138" s="19"/>
      <c r="AP138" s="19" t="str">
        <f>IF(T_MEDIDAS[[#This Row],[Parques y jardines]],"Si","No")</f>
        <v>No</v>
      </c>
      <c r="AQ138" s="19"/>
      <c r="AR138" s="19" t="str">
        <f>IF(T_MEDIDAS[[#This Row],[Transporte]],"Si","No")</f>
        <v>No</v>
      </c>
      <c r="AS138" s="125">
        <v>1</v>
      </c>
      <c r="AT138" s="1" t="str">
        <f>IF(T_MEDIDAS[[#This Row],[Coordinación]],"Si","No")</f>
        <v>Si</v>
      </c>
      <c r="AU138" s="2"/>
      <c r="AV138" s="1"/>
      <c r="AW138" s="1"/>
      <c r="AX138" s="1"/>
      <c r="AY138" s="3">
        <v>1</v>
      </c>
      <c r="AZ138" s="43">
        <f>SUMPRODUCT($AT$15:$AX$15,T_MEDIDAS[[#This Row],[&lt;5.000]:[&gt;100.000]])</f>
        <v>1</v>
      </c>
      <c r="BA138" s="1">
        <v>1</v>
      </c>
      <c r="BB138" s="1">
        <v>1</v>
      </c>
      <c r="BC138" s="1">
        <v>1</v>
      </c>
      <c r="BD138" s="1">
        <v>1</v>
      </c>
      <c r="BE138" s="1">
        <v>1</v>
      </c>
      <c r="BF138" s="1">
        <v>1</v>
      </c>
      <c r="BG138" s="1">
        <v>1</v>
      </c>
      <c r="BH138" s="43" cm="1">
        <f t="array" ref="BH138">SUMPRODUCT(--((T_MEDIDAS[[#This Row],[Centros de salud o asistencia social]:[Escuelas / Centros de educación]] + $AZ$15:$BF$15)&gt;0))</f>
        <v>7</v>
      </c>
      <c r="BI138" s="44">
        <v>0</v>
      </c>
      <c r="BJ138" s="44">
        <v>0</v>
      </c>
      <c r="BK138" s="44">
        <v>2</v>
      </c>
      <c r="BL138" s="44">
        <v>3</v>
      </c>
      <c r="BM138" s="44">
        <v>3</v>
      </c>
      <c r="BN138" s="44">
        <v>2</v>
      </c>
      <c r="BO138" s="44">
        <v>3</v>
      </c>
      <c r="BP138" s="44">
        <v>3</v>
      </c>
      <c r="BQ138" s="47" cm="1">
        <f t="array" ref="BQ138">T_MEDIDAS[[#This Row],[Aplicación tamaño]]*(SUMPRODUCT(T_MEDIDAS[[#This Row],[C1_Refrigeración]:[C8_Tiempo]],TRANSPOSE('2.PONDERACIÓN'!$L$13:$L$20))+(ROW(C138)-ROW($C$18)+1)*0.0000000001)*100</f>
        <v>200.00000121000002</v>
      </c>
      <c r="BR138" s="84"/>
      <c r="BS138" s="90"/>
    </row>
    <row r="139" spans="1:71" ht="34.5">
      <c r="A139" s="84"/>
      <c r="B139" s="90"/>
      <c r="C139" s="84"/>
      <c r="D139" s="43">
        <f>IF(T_MEDIDAS[[#This Row],[Peso Criterios]]&lt;=0,"",_xlfn.RANK.EQ(T_MEDIDAS[[#This Row],[Peso Criterios]],T_MEDIDAS[Peso Criterios]))</f>
        <v>1</v>
      </c>
      <c r="E139" s="116" t="s">
        <v>400</v>
      </c>
      <c r="F139" s="117" t="s">
        <v>70</v>
      </c>
      <c r="G139" s="117" t="s">
        <v>50</v>
      </c>
      <c r="H139" s="117" t="s">
        <v>151</v>
      </c>
      <c r="I139" s="126" t="s">
        <v>401</v>
      </c>
      <c r="J139" s="126"/>
      <c r="K139" s="120">
        <v>1</v>
      </c>
      <c r="L139" s="19"/>
      <c r="M139" s="19"/>
      <c r="N139" s="121" t="str">
        <f t="shared" si="6"/>
        <v>€</v>
      </c>
      <c r="O139" s="122"/>
      <c r="P139" s="122">
        <v>1</v>
      </c>
      <c r="Q139" s="20">
        <v>1</v>
      </c>
      <c r="R139" s="122"/>
      <c r="S139" s="34" t="str">
        <f>IF(T_MEDIDAS[[#This Row],[No risk (0)]]=1,"■","")</f>
        <v/>
      </c>
      <c r="T139" s="35" t="str">
        <f>IF(T_MEDIDAS[[#This Row],[Low risk (1)]]=1,"■","")</f>
        <v>■</v>
      </c>
      <c r="U139" s="36" t="str">
        <f>IF(T_MEDIDAS[[#This Row],[Medidaium risk (2)]]=1,"■","")</f>
        <v>■</v>
      </c>
      <c r="V139" s="81" t="str">
        <f>IF(T_MEDIDAS[[#This Row],[High risk (3)]]=1,"■","")</f>
        <v/>
      </c>
      <c r="W139" s="19" t="str">
        <f t="shared" si="7"/>
        <v>3. Medio (Naranja)</v>
      </c>
      <c r="X139" s="19">
        <f>COUNT(T_MEDIDAS[[#This Row],[Edificios públicos]:[Coordinación]])</f>
        <v>2</v>
      </c>
      <c r="Y139" s="19"/>
      <c r="Z139" s="19" t="str">
        <f>IF(T_MEDIDAS[[#This Row],[Edificios públicos]]=1,"Si","No")</f>
        <v>No</v>
      </c>
      <c r="AA139" s="19"/>
      <c r="AB139" s="19" t="str">
        <f>IF(T_MEDIDAS[[#This Row],[Planificación urbana]]=1,"Si","No")</f>
        <v>No</v>
      </c>
      <c r="AC139" s="19"/>
      <c r="AD139" s="19" t="str">
        <f>IF(T_MEDIDAS[[#This Row],[Cultura y deportes]],"Si","No")</f>
        <v>No</v>
      </c>
      <c r="AE139" s="19"/>
      <c r="AF139" s="19" t="str">
        <f>IF(T_MEDIDAS[[#This Row],[Turismo]],"Si","No")</f>
        <v>No</v>
      </c>
      <c r="AG139" s="19"/>
      <c r="AH139" s="19" t="str">
        <f>IF(T_MEDIDAS[[#This Row],[Riesgos laborales]],"Si","No")</f>
        <v>No</v>
      </c>
      <c r="AI139" s="19">
        <v>1</v>
      </c>
      <c r="AJ139" s="19" t="str">
        <f>IF(T_MEDIDAS[[#This Row],[Educación]],"Si","No")</f>
        <v>Si</v>
      </c>
      <c r="AK139" s="19">
        <v>1</v>
      </c>
      <c r="AL139" s="19" t="str">
        <f>IF(T_MEDIDAS[[#This Row],[Servicios sociales]],"Si","No")</f>
        <v>Si</v>
      </c>
      <c r="AM139" s="19"/>
      <c r="AN139" s="19" t="str">
        <f>IF(T_MEDIDAS[[#This Row],[Servicios de emergencia y policía]],"Si","No")</f>
        <v>No</v>
      </c>
      <c r="AO139" s="19"/>
      <c r="AP139" s="19" t="str">
        <f>IF(T_MEDIDAS[[#This Row],[Parques y jardines]],"Si","No")</f>
        <v>No</v>
      </c>
      <c r="AQ139" s="19"/>
      <c r="AR139" s="19" t="str">
        <f>IF(T_MEDIDAS[[#This Row],[Transporte]],"Si","No")</f>
        <v>No</v>
      </c>
      <c r="AS139" s="125"/>
      <c r="AT139" s="1" t="str">
        <f>IF(T_MEDIDAS[[#This Row],[Coordinación]],"Si","No")</f>
        <v>No</v>
      </c>
      <c r="AU139" s="2"/>
      <c r="AV139" s="1">
        <v>1</v>
      </c>
      <c r="AW139" s="1">
        <v>1</v>
      </c>
      <c r="AX139" s="1">
        <v>1</v>
      </c>
      <c r="AY139" s="3">
        <v>1</v>
      </c>
      <c r="AZ139" s="43">
        <f>SUMPRODUCT($AT$15:$AX$15,T_MEDIDAS[[#This Row],[&lt;5.000]:[&gt;100.000]])</f>
        <v>1</v>
      </c>
      <c r="BA139" s="1">
        <v>1</v>
      </c>
      <c r="BB139" s="1">
        <v>1</v>
      </c>
      <c r="BC139" s="1">
        <v>1</v>
      </c>
      <c r="BD139" s="1">
        <v>1</v>
      </c>
      <c r="BE139" s="1">
        <v>1</v>
      </c>
      <c r="BF139" s="1">
        <v>1</v>
      </c>
      <c r="BG139" s="1">
        <v>1</v>
      </c>
      <c r="BH139" s="43" cm="1">
        <f t="array" ref="BH139">SUMPRODUCT(--((T_MEDIDAS[[#This Row],[Centros de salud o asistencia social]:[Escuelas / Centros de educación]] + $AZ$15:$BF$15)&gt;0))</f>
        <v>7</v>
      </c>
      <c r="BI139" s="1">
        <v>0</v>
      </c>
      <c r="BJ139" s="1">
        <v>0</v>
      </c>
      <c r="BK139" s="1">
        <v>3</v>
      </c>
      <c r="BL139" s="1">
        <v>3</v>
      </c>
      <c r="BM139" s="1">
        <v>3</v>
      </c>
      <c r="BN139" s="1">
        <v>2</v>
      </c>
      <c r="BO139" s="1">
        <v>3</v>
      </c>
      <c r="BP139" s="1">
        <v>3</v>
      </c>
      <c r="BQ139" s="47" cm="1">
        <f t="array" ref="BQ139">T_MEDIDAS[[#This Row],[Aplicación tamaño]]*(SUMPRODUCT(T_MEDIDAS[[#This Row],[C1_Refrigeración]:[C8_Tiempo]],TRANSPOSE('2.PONDERACIÓN'!$L$13:$L$20))+(ROW(C139)-ROW($C$18)+1)*0.0000000001)*100</f>
        <v>212.50000122</v>
      </c>
      <c r="BR139" s="84"/>
      <c r="BS139" s="90"/>
    </row>
    <row r="140" spans="1:71" ht="34.5">
      <c r="A140" s="84"/>
      <c r="B140" s="90"/>
      <c r="C140" s="84"/>
      <c r="D140" s="43">
        <f>IF(T_MEDIDAS[[#This Row],[Peso Criterios]]&lt;=0,"",_xlfn.RANK.EQ(T_MEDIDAS[[#This Row],[Peso Criterios]],T_MEDIDAS[Peso Criterios]))</f>
        <v>14</v>
      </c>
      <c r="E140" s="116" t="s">
        <v>402</v>
      </c>
      <c r="F140" s="117" t="s">
        <v>70</v>
      </c>
      <c r="G140" s="117" t="s">
        <v>50</v>
      </c>
      <c r="H140" s="117" t="s">
        <v>160</v>
      </c>
      <c r="I140" s="126" t="s">
        <v>403</v>
      </c>
      <c r="J140" s="126"/>
      <c r="K140" s="120">
        <v>1</v>
      </c>
      <c r="L140" s="19"/>
      <c r="M140" s="19"/>
      <c r="N140" s="121" t="str">
        <f t="shared" si="6"/>
        <v>€</v>
      </c>
      <c r="O140" s="122"/>
      <c r="P140" s="122">
        <v>1</v>
      </c>
      <c r="Q140" s="20">
        <v>1</v>
      </c>
      <c r="R140" s="122"/>
      <c r="S140" s="34" t="str">
        <f>IF(T_MEDIDAS[[#This Row],[No risk (0)]]=1,"■","")</f>
        <v/>
      </c>
      <c r="T140" s="35" t="str">
        <f>IF(T_MEDIDAS[[#This Row],[Low risk (1)]]=1,"■","")</f>
        <v>■</v>
      </c>
      <c r="U140" s="36" t="str">
        <f>IF(T_MEDIDAS[[#This Row],[Medidaium risk (2)]]=1,"■","")</f>
        <v>■</v>
      </c>
      <c r="V140" s="81" t="str">
        <f>IF(T_MEDIDAS[[#This Row],[High risk (3)]]=1,"■","")</f>
        <v/>
      </c>
      <c r="W140" s="19" t="str">
        <f t="shared" si="7"/>
        <v>3. Medio (Naranja)</v>
      </c>
      <c r="X140" s="19">
        <f>COUNT(T_MEDIDAS[[#This Row],[Edificios públicos]:[Coordinación]])</f>
        <v>1</v>
      </c>
      <c r="Y140" s="19"/>
      <c r="Z140" s="19" t="str">
        <f>IF(T_MEDIDAS[[#This Row],[Edificios públicos]]=1,"Si","No")</f>
        <v>No</v>
      </c>
      <c r="AA140" s="19"/>
      <c r="AB140" s="19" t="str">
        <f>IF(T_MEDIDAS[[#This Row],[Planificación urbana]]=1,"Si","No")</f>
        <v>No</v>
      </c>
      <c r="AC140" s="19"/>
      <c r="AD140" s="19" t="str">
        <f>IF(T_MEDIDAS[[#This Row],[Cultura y deportes]],"Si","No")</f>
        <v>No</v>
      </c>
      <c r="AE140" s="19"/>
      <c r="AF140" s="19" t="str">
        <f>IF(T_MEDIDAS[[#This Row],[Turismo]],"Si","No")</f>
        <v>No</v>
      </c>
      <c r="AG140" s="19">
        <v>1</v>
      </c>
      <c r="AH140" s="19" t="str">
        <f>IF(T_MEDIDAS[[#This Row],[Riesgos laborales]],"Si","No")</f>
        <v>Si</v>
      </c>
      <c r="AI140" s="19"/>
      <c r="AJ140" s="19" t="str">
        <f>IF(T_MEDIDAS[[#This Row],[Educación]],"Si","No")</f>
        <v>No</v>
      </c>
      <c r="AK140" s="19"/>
      <c r="AL140" s="19" t="str">
        <f>IF(T_MEDIDAS[[#This Row],[Servicios sociales]],"Si","No")</f>
        <v>No</v>
      </c>
      <c r="AM140" s="19"/>
      <c r="AN140" s="19" t="str">
        <f>IF(T_MEDIDAS[[#This Row],[Servicios de emergencia y policía]],"Si","No")</f>
        <v>No</v>
      </c>
      <c r="AO140" s="19"/>
      <c r="AP140" s="19" t="str">
        <f>IF(T_MEDIDAS[[#This Row],[Parques y jardines]],"Si","No")</f>
        <v>No</v>
      </c>
      <c r="AQ140" s="19"/>
      <c r="AR140" s="19" t="str">
        <f>IF(T_MEDIDAS[[#This Row],[Transporte]],"Si","No")</f>
        <v>No</v>
      </c>
      <c r="AS140" s="125"/>
      <c r="AT140" s="1" t="str">
        <f>IF(T_MEDIDAS[[#This Row],[Coordinación]],"Si","No")</f>
        <v>No</v>
      </c>
      <c r="AU140" s="2">
        <v>1</v>
      </c>
      <c r="AV140" s="1">
        <v>1</v>
      </c>
      <c r="AW140" s="1">
        <v>1</v>
      </c>
      <c r="AX140" s="1">
        <v>1</v>
      </c>
      <c r="AY140" s="3">
        <v>1</v>
      </c>
      <c r="AZ140" s="43">
        <f>SUMPRODUCT($AT$15:$AX$15,T_MEDIDAS[[#This Row],[&lt;5.000]:[&gt;100.000]])</f>
        <v>1</v>
      </c>
      <c r="BA140" s="1"/>
      <c r="BB140" s="1">
        <v>1</v>
      </c>
      <c r="BC140" s="1">
        <v>1</v>
      </c>
      <c r="BD140" s="1">
        <v>1</v>
      </c>
      <c r="BE140" s="1">
        <v>1</v>
      </c>
      <c r="BF140" s="1">
        <v>1</v>
      </c>
      <c r="BG140" s="1">
        <v>1</v>
      </c>
      <c r="BH140" s="43" cm="1">
        <f t="array" ref="BH140">SUMPRODUCT(--((T_MEDIDAS[[#This Row],[Centros de salud o asistencia social]:[Escuelas / Centros de educación]] + $AZ$15:$BF$15)&gt;0))</f>
        <v>6</v>
      </c>
      <c r="BI140" s="44">
        <v>0</v>
      </c>
      <c r="BJ140" s="44">
        <v>0</v>
      </c>
      <c r="BK140" s="44">
        <v>3</v>
      </c>
      <c r="BL140" s="44">
        <v>2</v>
      </c>
      <c r="BM140" s="44">
        <v>3</v>
      </c>
      <c r="BN140" s="44">
        <v>2</v>
      </c>
      <c r="BO140" s="44">
        <v>3</v>
      </c>
      <c r="BP140" s="44">
        <v>3</v>
      </c>
      <c r="BQ140" s="47" cm="1">
        <f t="array" ref="BQ140">T_MEDIDAS[[#This Row],[Aplicación tamaño]]*(SUMPRODUCT(T_MEDIDAS[[#This Row],[C1_Refrigeración]:[C8_Tiempo]],TRANSPOSE('2.PONDERACIÓN'!$L$13:$L$20))+(ROW(C140)-ROW($C$18)+1)*0.0000000001)*100</f>
        <v>200.00000123000001</v>
      </c>
      <c r="BR140" s="84"/>
      <c r="BS140" s="90"/>
    </row>
    <row r="141" spans="1:71" ht="34.5">
      <c r="A141" s="84"/>
      <c r="B141" s="90"/>
      <c r="C141" s="84"/>
      <c r="D141" s="43">
        <f>IF(T_MEDIDAS[[#This Row],[Peso Criterios]]&lt;=0,"",_xlfn.RANK.EQ(T_MEDIDAS[[#This Row],[Peso Criterios]],T_MEDIDAS[Peso Criterios]))</f>
        <v>13</v>
      </c>
      <c r="E141" s="116" t="s">
        <v>404</v>
      </c>
      <c r="F141" s="117" t="s">
        <v>70</v>
      </c>
      <c r="G141" s="117" t="s">
        <v>56</v>
      </c>
      <c r="H141" s="117" t="s">
        <v>171</v>
      </c>
      <c r="I141" s="117" t="s">
        <v>405</v>
      </c>
      <c r="J141" s="117"/>
      <c r="K141" s="120">
        <v>1</v>
      </c>
      <c r="L141" s="19"/>
      <c r="M141" s="19"/>
      <c r="N141" s="121" t="str">
        <f t="shared" si="6"/>
        <v>€</v>
      </c>
      <c r="O141" s="122">
        <v>1</v>
      </c>
      <c r="P141" s="122">
        <v>1</v>
      </c>
      <c r="Q141" s="20"/>
      <c r="R141" s="122"/>
      <c r="S141" s="34" t="str">
        <f>IF(T_MEDIDAS[[#This Row],[No risk (0)]]=1,"■","")</f>
        <v>■</v>
      </c>
      <c r="T141" s="35" t="str">
        <f>IF(T_MEDIDAS[[#This Row],[Low risk (1)]]=1,"■","")</f>
        <v>■</v>
      </c>
      <c r="U141" s="36" t="str">
        <f>IF(T_MEDIDAS[[#This Row],[Medidaium risk (2)]]=1,"■","")</f>
        <v/>
      </c>
      <c r="V141" s="81" t="str">
        <f>IF(T_MEDIDAS[[#This Row],[High risk (3)]]=1,"■","")</f>
        <v/>
      </c>
      <c r="W141" s="19" t="str">
        <f t="shared" si="7"/>
        <v>2. Bajo (Amarillo)</v>
      </c>
      <c r="X141" s="19">
        <f>COUNT(T_MEDIDAS[[#This Row],[Edificios públicos]:[Coordinación]])</f>
        <v>3</v>
      </c>
      <c r="Y141" s="19"/>
      <c r="Z141" s="19" t="str">
        <f>IF(T_MEDIDAS[[#This Row],[Edificios públicos]]=1,"Si","No")</f>
        <v>No</v>
      </c>
      <c r="AA141" s="19"/>
      <c r="AB141" s="19" t="str">
        <f>IF(T_MEDIDAS[[#This Row],[Planificación urbana]]=1,"Si","No")</f>
        <v>No</v>
      </c>
      <c r="AC141" s="19"/>
      <c r="AD141" s="19" t="str">
        <f>IF(T_MEDIDAS[[#This Row],[Cultura y deportes]],"Si","No")</f>
        <v>No</v>
      </c>
      <c r="AE141" s="19"/>
      <c r="AF141" s="19" t="str">
        <f>IF(T_MEDIDAS[[#This Row],[Turismo]],"Si","No")</f>
        <v>No</v>
      </c>
      <c r="AG141" s="19"/>
      <c r="AH141" s="19" t="str">
        <f>IF(T_MEDIDAS[[#This Row],[Riesgos laborales]],"Si","No")</f>
        <v>No</v>
      </c>
      <c r="AI141" s="19">
        <v>1</v>
      </c>
      <c r="AJ141" s="19" t="str">
        <f>IF(T_MEDIDAS[[#This Row],[Educación]],"Si","No")</f>
        <v>Si</v>
      </c>
      <c r="AK141" s="19">
        <v>1</v>
      </c>
      <c r="AL141" s="19" t="str">
        <f>IF(T_MEDIDAS[[#This Row],[Servicios sociales]],"Si","No")</f>
        <v>Si</v>
      </c>
      <c r="AM141" s="19">
        <v>1</v>
      </c>
      <c r="AN141" s="19" t="str">
        <f>IF(T_MEDIDAS[[#This Row],[Servicios de emergencia y policía]],"Si","No")</f>
        <v>Si</v>
      </c>
      <c r="AO141" s="19"/>
      <c r="AP141" s="19" t="str">
        <f>IF(T_MEDIDAS[[#This Row],[Parques y jardines]],"Si","No")</f>
        <v>No</v>
      </c>
      <c r="AQ141" s="19"/>
      <c r="AR141" s="19" t="str">
        <f>IF(T_MEDIDAS[[#This Row],[Transporte]],"Si","No")</f>
        <v>No</v>
      </c>
      <c r="AS141" s="125"/>
      <c r="AT141" s="1" t="str">
        <f>IF(T_MEDIDAS[[#This Row],[Coordinación]],"Si","No")</f>
        <v>No</v>
      </c>
      <c r="AU141" s="2">
        <v>1</v>
      </c>
      <c r="AV141" s="1">
        <v>1</v>
      </c>
      <c r="AW141" s="1">
        <v>1</v>
      </c>
      <c r="AX141" s="1">
        <v>1</v>
      </c>
      <c r="AY141" s="3">
        <v>1</v>
      </c>
      <c r="AZ141" s="43">
        <f>SUMPRODUCT($AT$15:$AX$15,T_MEDIDAS[[#This Row],[&lt;5.000]:[&gt;100.000]])</f>
        <v>1</v>
      </c>
      <c r="BA141" s="1">
        <v>1</v>
      </c>
      <c r="BB141" s="1">
        <v>1</v>
      </c>
      <c r="BC141" s="1">
        <v>1</v>
      </c>
      <c r="BD141" s="1">
        <v>1</v>
      </c>
      <c r="BE141" s="1">
        <v>1</v>
      </c>
      <c r="BF141" s="1">
        <v>1</v>
      </c>
      <c r="BG141" s="1">
        <v>1</v>
      </c>
      <c r="BH141" s="43" cm="1">
        <f t="array" ref="BH141">SUMPRODUCT(--((T_MEDIDAS[[#This Row],[Centros de salud o asistencia social]:[Escuelas / Centros de educación]] + $AZ$15:$BF$15)&gt;0))</f>
        <v>7</v>
      </c>
      <c r="BI141" s="1">
        <v>0</v>
      </c>
      <c r="BJ141" s="1">
        <v>0</v>
      </c>
      <c r="BK141" s="1">
        <v>2</v>
      </c>
      <c r="BL141" s="1">
        <v>3</v>
      </c>
      <c r="BM141" s="1">
        <v>3</v>
      </c>
      <c r="BN141" s="1">
        <v>2</v>
      </c>
      <c r="BO141" s="1">
        <v>3</v>
      </c>
      <c r="BP141" s="1">
        <v>3</v>
      </c>
      <c r="BQ141" s="47" cm="1">
        <f t="array" ref="BQ141">T_MEDIDAS[[#This Row],[Aplicación tamaño]]*(SUMPRODUCT(T_MEDIDAS[[#This Row],[C1_Refrigeración]:[C8_Tiempo]],TRANSPOSE('2.PONDERACIÓN'!$L$13:$L$20))+(ROW(C141)-ROW($C$18)+1)*0.0000000001)*100</f>
        <v>200.00000124000002</v>
      </c>
      <c r="BR141" s="84"/>
      <c r="BS141" s="90"/>
    </row>
    <row r="142" spans="1:71" ht="34.5">
      <c r="A142" s="84"/>
      <c r="B142" s="90"/>
      <c r="C142" s="84"/>
      <c r="D142" s="43">
        <f>IF(T_MEDIDAS[[#This Row],[Peso Criterios]]&lt;=0,"",_xlfn.RANK.EQ(T_MEDIDAS[[#This Row],[Peso Criterios]],T_MEDIDAS[Peso Criterios]))</f>
        <v>120</v>
      </c>
      <c r="E142" s="116" t="s">
        <v>406</v>
      </c>
      <c r="F142" s="117" t="s">
        <v>70</v>
      </c>
      <c r="G142" s="117" t="s">
        <v>53</v>
      </c>
      <c r="H142" s="117" t="s">
        <v>392</v>
      </c>
      <c r="I142" s="117" t="s">
        <v>407</v>
      </c>
      <c r="J142" s="117"/>
      <c r="K142" s="120">
        <v>1</v>
      </c>
      <c r="L142" s="19"/>
      <c r="M142" s="19"/>
      <c r="N142" s="121" t="str">
        <f t="shared" si="6"/>
        <v>€</v>
      </c>
      <c r="O142" s="122">
        <v>1</v>
      </c>
      <c r="P142" s="122">
        <v>1</v>
      </c>
      <c r="Q142" s="20">
        <v>1</v>
      </c>
      <c r="R142" s="122">
        <v>1</v>
      </c>
      <c r="S142" s="34" t="str">
        <f>IF(T_MEDIDAS[[#This Row],[No risk (0)]]=1,"■","")</f>
        <v>■</v>
      </c>
      <c r="T142" s="35" t="str">
        <f>IF(T_MEDIDAS[[#This Row],[Low risk (1)]]=1,"■","")</f>
        <v>■</v>
      </c>
      <c r="U142" s="36" t="str">
        <f>IF(T_MEDIDAS[[#This Row],[Medidaium risk (2)]]=1,"■","")</f>
        <v>■</v>
      </c>
      <c r="V142" s="81" t="str">
        <f>IF(T_MEDIDAS[[#This Row],[High risk (3)]]=1,"■","")</f>
        <v>■</v>
      </c>
      <c r="W142" s="19" t="str">
        <f t="shared" si="7"/>
        <v>4. Alto (Rojo)</v>
      </c>
      <c r="X142" s="19">
        <f>COUNT(T_MEDIDAS[[#This Row],[Edificios públicos]:[Coordinación]])</f>
        <v>1</v>
      </c>
      <c r="Y142" s="19">
        <v>1</v>
      </c>
      <c r="Z142" s="19" t="str">
        <f>IF(T_MEDIDAS[[#This Row],[Edificios públicos]]=1,"Si","No")</f>
        <v>Si</v>
      </c>
      <c r="AA142" s="19"/>
      <c r="AB142" s="19" t="str">
        <f>IF(T_MEDIDAS[[#This Row],[Planificación urbana]]=1,"Si","No")</f>
        <v>No</v>
      </c>
      <c r="AC142" s="19"/>
      <c r="AD142" s="19" t="str">
        <f>IF(T_MEDIDAS[[#This Row],[Cultura y deportes]],"Si","No")</f>
        <v>No</v>
      </c>
      <c r="AE142" s="19"/>
      <c r="AF142" s="19" t="str">
        <f>IF(T_MEDIDAS[[#This Row],[Turismo]],"Si","No")</f>
        <v>No</v>
      </c>
      <c r="AG142" s="19"/>
      <c r="AH142" s="19" t="str">
        <f>IF(T_MEDIDAS[[#This Row],[Riesgos laborales]],"Si","No")</f>
        <v>No</v>
      </c>
      <c r="AI142" s="19"/>
      <c r="AJ142" s="19" t="str">
        <f>IF(T_MEDIDAS[[#This Row],[Educación]],"Si","No")</f>
        <v>No</v>
      </c>
      <c r="AK142" s="19"/>
      <c r="AL142" s="19" t="str">
        <f>IF(T_MEDIDAS[[#This Row],[Servicios sociales]],"Si","No")</f>
        <v>No</v>
      </c>
      <c r="AM142" s="19"/>
      <c r="AN142" s="19" t="str">
        <f>IF(T_MEDIDAS[[#This Row],[Servicios de emergencia y policía]],"Si","No")</f>
        <v>No</v>
      </c>
      <c r="AO142" s="19"/>
      <c r="AP142" s="19" t="str">
        <f>IF(T_MEDIDAS[[#This Row],[Parques y jardines]],"Si","No")</f>
        <v>No</v>
      </c>
      <c r="AQ142" s="19"/>
      <c r="AR142" s="19" t="str">
        <f>IF(T_MEDIDAS[[#This Row],[Transporte]],"Si","No")</f>
        <v>No</v>
      </c>
      <c r="AS142" s="125"/>
      <c r="AT142" s="1" t="str">
        <f>IF(T_MEDIDAS[[#This Row],[Coordinación]],"Si","No")</f>
        <v>No</v>
      </c>
      <c r="AU142" s="2"/>
      <c r="AV142" s="1">
        <v>1</v>
      </c>
      <c r="AW142" s="1">
        <v>1</v>
      </c>
      <c r="AX142" s="1">
        <v>1</v>
      </c>
      <c r="AY142" s="3">
        <v>1</v>
      </c>
      <c r="AZ142" s="43">
        <f>SUMPRODUCT($AT$15:$AX$15,T_MEDIDAS[[#This Row],[&lt;5.000]:[&gt;100.000]])</f>
        <v>1</v>
      </c>
      <c r="BA142" s="1">
        <v>1</v>
      </c>
      <c r="BB142" s="1">
        <v>1</v>
      </c>
      <c r="BC142" s="1">
        <v>1</v>
      </c>
      <c r="BD142" s="1">
        <v>1</v>
      </c>
      <c r="BE142" s="1">
        <v>1</v>
      </c>
      <c r="BF142" s="1">
        <v>1</v>
      </c>
      <c r="BG142" s="1">
        <v>1</v>
      </c>
      <c r="BH142" s="43" cm="1">
        <f t="array" ref="BH142">SUMPRODUCT(--((T_MEDIDAS[[#This Row],[Centros de salud o asistencia social]:[Escuelas / Centros de educación]] + $AZ$15:$BF$15)&gt;0))</f>
        <v>7</v>
      </c>
      <c r="BI142" s="44">
        <v>0</v>
      </c>
      <c r="BJ142" s="44">
        <v>0</v>
      </c>
      <c r="BK142" s="44">
        <v>2</v>
      </c>
      <c r="BL142" s="44">
        <v>2</v>
      </c>
      <c r="BM142" s="44">
        <v>2</v>
      </c>
      <c r="BN142" s="44">
        <v>2</v>
      </c>
      <c r="BO142" s="44">
        <v>2</v>
      </c>
      <c r="BP142" s="44">
        <v>2</v>
      </c>
      <c r="BQ142" s="47" cm="1">
        <f t="array" ref="BQ142">T_MEDIDAS[[#This Row],[Aplicación tamaño]]*(SUMPRODUCT(T_MEDIDAS[[#This Row],[C1_Refrigeración]:[C8_Tiempo]],TRANSPOSE('2.PONDERACIÓN'!$L$13:$L$20))+(ROW(C142)-ROW($C$18)+1)*0.0000000001)*100</f>
        <v>150.00000125</v>
      </c>
      <c r="BR142" s="84"/>
      <c r="BS142" s="90"/>
    </row>
    <row r="143" spans="1:71" ht="34.5">
      <c r="A143" s="84"/>
      <c r="B143" s="90"/>
      <c r="C143" s="84"/>
      <c r="D143" s="43">
        <f>IF(T_MEDIDAS[[#This Row],[Peso Criterios]]&lt;=0,"",_xlfn.RANK.EQ(T_MEDIDAS[[#This Row],[Peso Criterios]],T_MEDIDAS[Peso Criterios]))</f>
        <v>53</v>
      </c>
      <c r="E143" s="116" t="s">
        <v>408</v>
      </c>
      <c r="F143" s="117" t="s">
        <v>70</v>
      </c>
      <c r="G143" s="117" t="s">
        <v>50</v>
      </c>
      <c r="H143" s="117" t="s">
        <v>160</v>
      </c>
      <c r="I143" s="117" t="s">
        <v>409</v>
      </c>
      <c r="J143" s="117"/>
      <c r="K143" s="120">
        <v>1</v>
      </c>
      <c r="L143" s="19"/>
      <c r="M143" s="19"/>
      <c r="N143" s="121" t="str">
        <f t="shared" si="6"/>
        <v>€</v>
      </c>
      <c r="O143" s="122">
        <v>1</v>
      </c>
      <c r="P143" s="122">
        <v>1</v>
      </c>
      <c r="Q143" s="20">
        <v>1</v>
      </c>
      <c r="R143" s="122"/>
      <c r="S143" s="34" t="str">
        <f>IF(T_MEDIDAS[[#This Row],[No risk (0)]]=1,"■","")</f>
        <v>■</v>
      </c>
      <c r="T143" s="35" t="str">
        <f>IF(T_MEDIDAS[[#This Row],[Low risk (1)]]=1,"■","")</f>
        <v>■</v>
      </c>
      <c r="U143" s="36" t="str">
        <f>IF(T_MEDIDAS[[#This Row],[Medidaium risk (2)]]=1,"■","")</f>
        <v>■</v>
      </c>
      <c r="V143" s="81" t="str">
        <f>IF(T_MEDIDAS[[#This Row],[High risk (3)]]=1,"■","")</f>
        <v/>
      </c>
      <c r="W143" s="19" t="str">
        <f t="shared" si="7"/>
        <v>3. Medio (Naranja)</v>
      </c>
      <c r="X143" s="19">
        <f>COUNT(T_MEDIDAS[[#This Row],[Edificios públicos]:[Coordinación]])</f>
        <v>1</v>
      </c>
      <c r="Y143" s="19"/>
      <c r="Z143" s="19" t="str">
        <f>IF(T_MEDIDAS[[#This Row],[Edificios públicos]]=1,"Si","No")</f>
        <v>No</v>
      </c>
      <c r="AA143" s="19"/>
      <c r="AB143" s="19" t="str">
        <f>IF(T_MEDIDAS[[#This Row],[Planificación urbana]]=1,"Si","No")</f>
        <v>No</v>
      </c>
      <c r="AC143" s="19"/>
      <c r="AD143" s="19" t="str">
        <f>IF(T_MEDIDAS[[#This Row],[Cultura y deportes]],"Si","No")</f>
        <v>No</v>
      </c>
      <c r="AE143" s="19"/>
      <c r="AF143" s="19" t="str">
        <f>IF(T_MEDIDAS[[#This Row],[Turismo]],"Si","No")</f>
        <v>No</v>
      </c>
      <c r="AG143" s="19"/>
      <c r="AH143" s="19" t="str">
        <f>IF(T_MEDIDAS[[#This Row],[Riesgos laborales]],"Si","No")</f>
        <v>No</v>
      </c>
      <c r="AI143" s="19"/>
      <c r="AJ143" s="19" t="str">
        <f>IF(T_MEDIDAS[[#This Row],[Educación]],"Si","No")</f>
        <v>No</v>
      </c>
      <c r="AK143" s="19">
        <v>1</v>
      </c>
      <c r="AL143" s="19" t="str">
        <f>IF(T_MEDIDAS[[#This Row],[Servicios sociales]],"Si","No")</f>
        <v>Si</v>
      </c>
      <c r="AM143" s="19"/>
      <c r="AN143" s="19" t="str">
        <f>IF(T_MEDIDAS[[#This Row],[Servicios de emergencia y policía]],"Si","No")</f>
        <v>No</v>
      </c>
      <c r="AO143" s="19"/>
      <c r="AP143" s="19" t="str">
        <f>IF(T_MEDIDAS[[#This Row],[Parques y jardines]],"Si","No")</f>
        <v>No</v>
      </c>
      <c r="AQ143" s="19"/>
      <c r="AR143" s="19" t="str">
        <f>IF(T_MEDIDAS[[#This Row],[Transporte]],"Si","No")</f>
        <v>No</v>
      </c>
      <c r="AS143" s="125"/>
      <c r="AT143" s="1" t="str">
        <f>IF(T_MEDIDAS[[#This Row],[Coordinación]],"Si","No")</f>
        <v>No</v>
      </c>
      <c r="AU143" s="2">
        <v>1</v>
      </c>
      <c r="AV143" s="1">
        <v>1</v>
      </c>
      <c r="AW143" s="1">
        <v>1</v>
      </c>
      <c r="AX143" s="1">
        <v>1</v>
      </c>
      <c r="AY143" s="3">
        <v>1</v>
      </c>
      <c r="AZ143" s="43">
        <f>SUMPRODUCT($AT$15:$AX$15,T_MEDIDAS[[#This Row],[&lt;5.000]:[&gt;100.000]])</f>
        <v>1</v>
      </c>
      <c r="BA143" s="1"/>
      <c r="BB143" s="1">
        <v>1</v>
      </c>
      <c r="BC143" s="1">
        <v>1</v>
      </c>
      <c r="BD143" s="1">
        <v>1</v>
      </c>
      <c r="BE143" s="1">
        <v>1</v>
      </c>
      <c r="BF143" s="1">
        <v>1</v>
      </c>
      <c r="BG143" s="1">
        <v>1</v>
      </c>
      <c r="BH143" s="43" cm="1">
        <f t="array" ref="BH143">SUMPRODUCT(--((T_MEDIDAS[[#This Row],[Centros de salud o asistencia social]:[Escuelas / Centros de educación]] + $AZ$15:$BF$15)&gt;0))</f>
        <v>6</v>
      </c>
      <c r="BI143" s="1">
        <v>0</v>
      </c>
      <c r="BJ143" s="1">
        <v>0</v>
      </c>
      <c r="BK143" s="1">
        <v>3</v>
      </c>
      <c r="BL143" s="1">
        <v>2</v>
      </c>
      <c r="BM143" s="1">
        <v>2</v>
      </c>
      <c r="BN143" s="1">
        <v>2</v>
      </c>
      <c r="BO143" s="1">
        <v>3</v>
      </c>
      <c r="BP143" s="1">
        <v>3</v>
      </c>
      <c r="BQ143" s="47" cm="1">
        <f t="array" ref="BQ143">T_MEDIDAS[[#This Row],[Aplicación tamaño]]*(SUMPRODUCT(T_MEDIDAS[[#This Row],[C1_Refrigeración]:[C8_Tiempo]],TRANSPOSE('2.PONDERACIÓN'!$L$13:$L$20))+(ROW(C143)-ROW($C$18)+1)*0.0000000001)*100</f>
        <v>187.50000126</v>
      </c>
      <c r="BR143" s="84"/>
      <c r="BS143" s="90"/>
    </row>
    <row r="144" spans="1:71" ht="43.5">
      <c r="A144" s="84"/>
      <c r="B144" s="90"/>
      <c r="C144" s="84"/>
      <c r="D144" s="43">
        <f>IF(T_MEDIDAS[[#This Row],[Peso Criterios]]&lt;=0,"",_xlfn.RANK.EQ(T_MEDIDAS[[#This Row],[Peso Criterios]],T_MEDIDAS[Peso Criterios]))</f>
        <v>108</v>
      </c>
      <c r="E144" s="116" t="s">
        <v>410</v>
      </c>
      <c r="F144" s="117" t="s">
        <v>70</v>
      </c>
      <c r="G144" s="117" t="s">
        <v>50</v>
      </c>
      <c r="H144" s="117" t="s">
        <v>160</v>
      </c>
      <c r="I144" s="117" t="s">
        <v>411</v>
      </c>
      <c r="J144" s="117"/>
      <c r="K144" s="120">
        <v>1</v>
      </c>
      <c r="L144" s="19"/>
      <c r="M144" s="19"/>
      <c r="N144" s="121" t="str">
        <f t="shared" si="6"/>
        <v>€</v>
      </c>
      <c r="O144" s="122"/>
      <c r="P144" s="122">
        <v>1</v>
      </c>
      <c r="Q144" s="20">
        <v>1</v>
      </c>
      <c r="R144" s="122">
        <v>1</v>
      </c>
      <c r="S144" s="34" t="str">
        <f>IF(T_MEDIDAS[[#This Row],[No risk (0)]]=1,"■","")</f>
        <v/>
      </c>
      <c r="T144" s="35" t="str">
        <f>IF(T_MEDIDAS[[#This Row],[Low risk (1)]]=1,"■","")</f>
        <v>■</v>
      </c>
      <c r="U144" s="36" t="str">
        <f>IF(T_MEDIDAS[[#This Row],[Medidaium risk (2)]]=1,"■","")</f>
        <v>■</v>
      </c>
      <c r="V144" s="81" t="str">
        <f>IF(T_MEDIDAS[[#This Row],[High risk (3)]]=1,"■","")</f>
        <v>■</v>
      </c>
      <c r="W144" s="19" t="str">
        <f t="shared" si="7"/>
        <v>4. Alto (Rojo)</v>
      </c>
      <c r="X144" s="19">
        <f>COUNT(T_MEDIDAS[[#This Row],[Edificios públicos]:[Coordinación]])</f>
        <v>1</v>
      </c>
      <c r="Y144" s="19"/>
      <c r="Z144" s="19" t="str">
        <f>IF(T_MEDIDAS[[#This Row],[Edificios públicos]]=1,"Si","No")</f>
        <v>No</v>
      </c>
      <c r="AA144" s="19"/>
      <c r="AB144" s="19" t="str">
        <f>IF(T_MEDIDAS[[#This Row],[Planificación urbana]]=1,"Si","No")</f>
        <v>No</v>
      </c>
      <c r="AC144" s="19"/>
      <c r="AD144" s="19" t="str">
        <f>IF(T_MEDIDAS[[#This Row],[Cultura y deportes]],"Si","No")</f>
        <v>No</v>
      </c>
      <c r="AE144" s="19"/>
      <c r="AF144" s="19" t="str">
        <f>IF(T_MEDIDAS[[#This Row],[Turismo]],"Si","No")</f>
        <v>No</v>
      </c>
      <c r="AG144" s="19">
        <v>1</v>
      </c>
      <c r="AH144" s="19" t="str">
        <f>IF(T_MEDIDAS[[#This Row],[Riesgos laborales]],"Si","No")</f>
        <v>Si</v>
      </c>
      <c r="AI144" s="19"/>
      <c r="AJ144" s="19" t="str">
        <f>IF(T_MEDIDAS[[#This Row],[Educación]],"Si","No")</f>
        <v>No</v>
      </c>
      <c r="AK144" s="19"/>
      <c r="AL144" s="19" t="str">
        <f>IF(T_MEDIDAS[[#This Row],[Servicios sociales]],"Si","No")</f>
        <v>No</v>
      </c>
      <c r="AM144" s="19"/>
      <c r="AN144" s="19" t="str">
        <f>IF(T_MEDIDAS[[#This Row],[Servicios de emergencia y policía]],"Si","No")</f>
        <v>No</v>
      </c>
      <c r="AO144" s="19"/>
      <c r="AP144" s="19" t="str">
        <f>IF(T_MEDIDAS[[#This Row],[Parques y jardines]],"Si","No")</f>
        <v>No</v>
      </c>
      <c r="AQ144" s="19"/>
      <c r="AR144" s="19" t="str">
        <f>IF(T_MEDIDAS[[#This Row],[Transporte]],"Si","No")</f>
        <v>No</v>
      </c>
      <c r="AS144" s="125"/>
      <c r="AT144" s="1" t="str">
        <f>IF(T_MEDIDAS[[#This Row],[Coordinación]],"Si","No")</f>
        <v>No</v>
      </c>
      <c r="AU144" s="2">
        <v>1</v>
      </c>
      <c r="AV144" s="1">
        <v>1</v>
      </c>
      <c r="AW144" s="1">
        <v>1</v>
      </c>
      <c r="AX144" s="1">
        <v>1</v>
      </c>
      <c r="AY144" s="3">
        <v>1</v>
      </c>
      <c r="AZ144" s="43">
        <f>SUMPRODUCT($AT$15:$AX$15,T_MEDIDAS[[#This Row],[&lt;5.000]:[&gt;100.000]])</f>
        <v>1</v>
      </c>
      <c r="BA144" s="1">
        <v>1</v>
      </c>
      <c r="BB144" s="1">
        <v>1</v>
      </c>
      <c r="BC144" s="1">
        <v>1</v>
      </c>
      <c r="BD144" s="1">
        <v>1</v>
      </c>
      <c r="BE144" s="1">
        <v>1</v>
      </c>
      <c r="BF144" s="1">
        <v>1</v>
      </c>
      <c r="BG144" s="1">
        <v>1</v>
      </c>
      <c r="BH144" s="43" cm="1">
        <f t="array" ref="BH144">SUMPRODUCT(--((T_MEDIDAS[[#This Row],[Centros de salud o asistencia social]:[Escuelas / Centros de educación]] + $AZ$15:$BF$15)&gt;0))</f>
        <v>7</v>
      </c>
      <c r="BI144" s="44">
        <v>0</v>
      </c>
      <c r="BJ144" s="44">
        <v>0</v>
      </c>
      <c r="BK144" s="44">
        <v>1</v>
      </c>
      <c r="BL144" s="44">
        <v>1</v>
      </c>
      <c r="BM144" s="44">
        <v>3</v>
      </c>
      <c r="BN144" s="44">
        <v>2</v>
      </c>
      <c r="BO144" s="44">
        <v>3</v>
      </c>
      <c r="BP144" s="44">
        <v>3</v>
      </c>
      <c r="BQ144" s="47" cm="1">
        <f t="array" ref="BQ144">T_MEDIDAS[[#This Row],[Aplicación tamaño]]*(SUMPRODUCT(T_MEDIDAS[[#This Row],[C1_Refrigeración]:[C8_Tiempo]],TRANSPOSE('2.PONDERACIÓN'!$L$13:$L$20))+(ROW(C144)-ROW($C$18)+1)*0.0000000001)*100</f>
        <v>162.50000126999998</v>
      </c>
      <c r="BR144" s="84"/>
      <c r="BS144" s="90"/>
    </row>
    <row r="145" spans="1:71" ht="34.5">
      <c r="A145" s="84"/>
      <c r="B145" s="90"/>
      <c r="C145" s="84"/>
      <c r="D145" s="43">
        <f>IF(T_MEDIDAS[[#This Row],[Peso Criterios]]&lt;=0,"",_xlfn.RANK.EQ(T_MEDIDAS[[#This Row],[Peso Criterios]],T_MEDIDAS[Peso Criterios]))</f>
        <v>12</v>
      </c>
      <c r="E145" s="116" t="s">
        <v>412</v>
      </c>
      <c r="F145" s="117" t="s">
        <v>70</v>
      </c>
      <c r="G145" s="117" t="s">
        <v>50</v>
      </c>
      <c r="H145" s="117" t="s">
        <v>160</v>
      </c>
      <c r="I145" s="117" t="s">
        <v>413</v>
      </c>
      <c r="J145" s="117"/>
      <c r="K145" s="120">
        <v>1</v>
      </c>
      <c r="L145" s="19"/>
      <c r="M145" s="19"/>
      <c r="N145" s="121" t="str">
        <f t="shared" si="6"/>
        <v>€</v>
      </c>
      <c r="O145" s="122"/>
      <c r="P145" s="122">
        <v>1</v>
      </c>
      <c r="Q145" s="20">
        <v>1</v>
      </c>
      <c r="R145" s="122">
        <v>1</v>
      </c>
      <c r="S145" s="34" t="str">
        <f>IF(T_MEDIDAS[[#This Row],[No risk (0)]]=1,"■","")</f>
        <v/>
      </c>
      <c r="T145" s="35" t="str">
        <f>IF(T_MEDIDAS[[#This Row],[Low risk (1)]]=1,"■","")</f>
        <v>■</v>
      </c>
      <c r="U145" s="36" t="str">
        <f>IF(T_MEDIDAS[[#This Row],[Medidaium risk (2)]]=1,"■","")</f>
        <v>■</v>
      </c>
      <c r="V145" s="81" t="str">
        <f>IF(T_MEDIDAS[[#This Row],[High risk (3)]]=1,"■","")</f>
        <v>■</v>
      </c>
      <c r="W145" s="19" t="str">
        <f t="shared" si="7"/>
        <v>4. Alto (Rojo)</v>
      </c>
      <c r="X145" s="19">
        <f>COUNT(T_MEDIDAS[[#This Row],[Edificios públicos]:[Coordinación]])</f>
        <v>1</v>
      </c>
      <c r="Y145" s="19"/>
      <c r="Z145" s="19" t="str">
        <f>IF(T_MEDIDAS[[#This Row],[Edificios públicos]]=1,"Si","No")</f>
        <v>No</v>
      </c>
      <c r="AA145" s="19"/>
      <c r="AB145" s="19" t="str">
        <f>IF(T_MEDIDAS[[#This Row],[Planificación urbana]]=1,"Si","No")</f>
        <v>No</v>
      </c>
      <c r="AC145" s="19"/>
      <c r="AD145" s="19" t="str">
        <f>IF(T_MEDIDAS[[#This Row],[Cultura y deportes]],"Si","No")</f>
        <v>No</v>
      </c>
      <c r="AE145" s="19"/>
      <c r="AF145" s="19" t="str">
        <f>IF(T_MEDIDAS[[#This Row],[Turismo]],"Si","No")</f>
        <v>No</v>
      </c>
      <c r="AG145" s="19"/>
      <c r="AH145" s="19" t="str">
        <f>IF(T_MEDIDAS[[#This Row],[Riesgos laborales]],"Si","No")</f>
        <v>No</v>
      </c>
      <c r="AI145" s="19"/>
      <c r="AJ145" s="19" t="str">
        <f>IF(T_MEDIDAS[[#This Row],[Educación]],"Si","No")</f>
        <v>No</v>
      </c>
      <c r="AK145" s="19">
        <v>1</v>
      </c>
      <c r="AL145" s="19" t="str">
        <f>IF(T_MEDIDAS[[#This Row],[Servicios sociales]],"Si","No")</f>
        <v>Si</v>
      </c>
      <c r="AM145" s="19"/>
      <c r="AN145" s="19" t="str">
        <f>IF(T_MEDIDAS[[#This Row],[Servicios de emergencia y policía]],"Si","No")</f>
        <v>No</v>
      </c>
      <c r="AO145" s="19"/>
      <c r="AP145" s="19" t="str">
        <f>IF(T_MEDIDAS[[#This Row],[Parques y jardines]],"Si","No")</f>
        <v>No</v>
      </c>
      <c r="AQ145" s="19"/>
      <c r="AR145" s="19" t="str">
        <f>IF(T_MEDIDAS[[#This Row],[Transporte]],"Si","No")</f>
        <v>No</v>
      </c>
      <c r="AS145" s="125"/>
      <c r="AT145" s="1" t="str">
        <f>IF(T_MEDIDAS[[#This Row],[Coordinación]],"Si","No")</f>
        <v>No</v>
      </c>
      <c r="AU145" s="2">
        <v>1</v>
      </c>
      <c r="AV145" s="1">
        <v>1</v>
      </c>
      <c r="AW145" s="1">
        <v>1</v>
      </c>
      <c r="AX145" s="1">
        <v>1</v>
      </c>
      <c r="AY145" s="3">
        <v>1</v>
      </c>
      <c r="AZ145" s="43">
        <f>SUMPRODUCT($AT$15:$AX$15,T_MEDIDAS[[#This Row],[&lt;5.000]:[&gt;100.000]])</f>
        <v>1</v>
      </c>
      <c r="BA145" s="1">
        <v>1</v>
      </c>
      <c r="BB145" s="1">
        <v>1</v>
      </c>
      <c r="BC145" s="1">
        <v>1</v>
      </c>
      <c r="BD145" s="1">
        <v>1</v>
      </c>
      <c r="BE145" s="1">
        <v>1</v>
      </c>
      <c r="BF145" s="1">
        <v>1</v>
      </c>
      <c r="BG145" s="1">
        <v>1</v>
      </c>
      <c r="BH145" s="43" cm="1">
        <f t="array" ref="BH145">SUMPRODUCT(--((T_MEDIDAS[[#This Row],[Centros de salud o asistencia social]:[Escuelas / Centros de educación]] + $AZ$15:$BF$15)&gt;0))</f>
        <v>7</v>
      </c>
      <c r="BI145" s="1">
        <v>0</v>
      </c>
      <c r="BJ145" s="1">
        <v>0</v>
      </c>
      <c r="BK145" s="1">
        <v>3</v>
      </c>
      <c r="BL145" s="1">
        <v>2</v>
      </c>
      <c r="BM145" s="1">
        <v>3</v>
      </c>
      <c r="BN145" s="1">
        <v>2</v>
      </c>
      <c r="BO145" s="1">
        <v>3</v>
      </c>
      <c r="BP145" s="1">
        <v>3</v>
      </c>
      <c r="BQ145" s="47" cm="1">
        <f t="array" ref="BQ145">T_MEDIDAS[[#This Row],[Aplicación tamaño]]*(SUMPRODUCT(T_MEDIDAS[[#This Row],[C1_Refrigeración]:[C8_Tiempo]],TRANSPOSE('2.PONDERACIÓN'!$L$13:$L$20))+(ROW(C145)-ROW($C$18)+1)*0.0000000001)*100</f>
        <v>200.00000128000002</v>
      </c>
      <c r="BR145" s="84"/>
      <c r="BS145" s="90"/>
    </row>
    <row r="146" spans="1:71" ht="34.5">
      <c r="A146" s="84"/>
      <c r="B146" s="90"/>
      <c r="C146" s="84"/>
      <c r="D146" s="43">
        <f>IF(T_MEDIDAS[[#This Row],[Peso Criterios]]&lt;=0,"",_xlfn.RANK.EQ(T_MEDIDAS[[#This Row],[Peso Criterios]],T_MEDIDAS[Peso Criterios]))</f>
        <v>52</v>
      </c>
      <c r="E146" s="116" t="s">
        <v>414</v>
      </c>
      <c r="F146" s="126" t="s">
        <v>70</v>
      </c>
      <c r="G146" s="126" t="s">
        <v>50</v>
      </c>
      <c r="H146" s="126" t="s">
        <v>151</v>
      </c>
      <c r="I146" s="126" t="s">
        <v>415</v>
      </c>
      <c r="J146" s="126"/>
      <c r="K146" s="120">
        <v>1</v>
      </c>
      <c r="L146" s="19"/>
      <c r="M146" s="19"/>
      <c r="N146" s="121" t="str">
        <f t="shared" ref="N146:N158" si="8">IF(M146&lt;&gt;"","€€€", IF(L146&lt;&gt;"","€€", IF(K146&lt;&gt;"","€","-")))</f>
        <v>€</v>
      </c>
      <c r="O146" s="122"/>
      <c r="P146" s="122">
        <v>1</v>
      </c>
      <c r="Q146" s="20">
        <v>1</v>
      </c>
      <c r="R146" s="122">
        <v>1</v>
      </c>
      <c r="S146" s="34" t="str">
        <f>IF(T_MEDIDAS[[#This Row],[No risk (0)]]=1,"■","")</f>
        <v/>
      </c>
      <c r="T146" s="35" t="str">
        <f>IF(T_MEDIDAS[[#This Row],[Low risk (1)]]=1,"■","")</f>
        <v>■</v>
      </c>
      <c r="U146" s="36" t="str">
        <f>IF(T_MEDIDAS[[#This Row],[Medidaium risk (2)]]=1,"■","")</f>
        <v>■</v>
      </c>
      <c r="V146" s="81" t="str">
        <f>IF(T_MEDIDAS[[#This Row],[High risk (3)]]=1,"■","")</f>
        <v>■</v>
      </c>
      <c r="W146" s="19" t="str">
        <f t="shared" ref="W146:W158" si="9">IF(R146&lt;&gt;"","4. Alto (Rojo)", IF(Q146&lt;&gt;"","3. Medio (Naranja)", IF(P146&lt;&gt;"","2. Bajo (Amarillo)","1. Sin Riesgo (Verde)")))</f>
        <v>4. Alto (Rojo)</v>
      </c>
      <c r="X146" s="19">
        <f>COUNT(T_MEDIDAS[[#This Row],[Edificios públicos]:[Coordinación]])</f>
        <v>1</v>
      </c>
      <c r="Y146" s="19">
        <v>1</v>
      </c>
      <c r="Z146" s="19" t="str">
        <f>IF(T_MEDIDAS[[#This Row],[Edificios públicos]]=1,"Si","No")</f>
        <v>Si</v>
      </c>
      <c r="AA146" s="19"/>
      <c r="AB146" s="19" t="str">
        <f>IF(T_MEDIDAS[[#This Row],[Planificación urbana]]=1,"Si","No")</f>
        <v>No</v>
      </c>
      <c r="AC146" s="19"/>
      <c r="AD146" s="19" t="str">
        <f>IF(T_MEDIDAS[[#This Row],[Cultura y deportes]],"Si","No")</f>
        <v>No</v>
      </c>
      <c r="AE146" s="19"/>
      <c r="AF146" s="19" t="str">
        <f>IF(T_MEDIDAS[[#This Row],[Turismo]],"Si","No")</f>
        <v>No</v>
      </c>
      <c r="AG146" s="19"/>
      <c r="AH146" s="19" t="str">
        <f>IF(T_MEDIDAS[[#This Row],[Riesgos laborales]],"Si","No")</f>
        <v>No</v>
      </c>
      <c r="AI146" s="19"/>
      <c r="AJ146" s="19" t="str">
        <f>IF(T_MEDIDAS[[#This Row],[Educación]],"Si","No")</f>
        <v>No</v>
      </c>
      <c r="AK146" s="19"/>
      <c r="AL146" s="19" t="str">
        <f>IF(T_MEDIDAS[[#This Row],[Servicios sociales]],"Si","No")</f>
        <v>No</v>
      </c>
      <c r="AM146" s="19"/>
      <c r="AN146" s="19" t="str">
        <f>IF(T_MEDIDAS[[#This Row],[Servicios de emergencia y policía]],"Si","No")</f>
        <v>No</v>
      </c>
      <c r="AO146" s="19"/>
      <c r="AP146" s="19" t="str">
        <f>IF(T_MEDIDAS[[#This Row],[Parques y jardines]],"Si","No")</f>
        <v>No</v>
      </c>
      <c r="AQ146" s="19"/>
      <c r="AR146" s="19" t="str">
        <f>IF(T_MEDIDAS[[#This Row],[Transporte]],"Si","No")</f>
        <v>No</v>
      </c>
      <c r="AS146" s="125"/>
      <c r="AT146" s="1" t="str">
        <f>IF(T_MEDIDAS[[#This Row],[Coordinación]],"Si","No")</f>
        <v>No</v>
      </c>
      <c r="AU146" s="2">
        <v>1</v>
      </c>
      <c r="AV146" s="1">
        <v>1</v>
      </c>
      <c r="AW146" s="1">
        <v>1</v>
      </c>
      <c r="AX146" s="1">
        <v>1</v>
      </c>
      <c r="AY146" s="3">
        <v>1</v>
      </c>
      <c r="AZ146" s="43">
        <f>SUMPRODUCT($AT$15:$AX$15,T_MEDIDAS[[#This Row],[&lt;5.000]:[&gt;100.000]])</f>
        <v>1</v>
      </c>
      <c r="BA146" s="1">
        <v>1</v>
      </c>
      <c r="BB146" s="1">
        <v>1</v>
      </c>
      <c r="BC146" s="1">
        <v>1</v>
      </c>
      <c r="BD146" s="1">
        <v>1</v>
      </c>
      <c r="BE146" s="1">
        <v>1</v>
      </c>
      <c r="BF146" s="1">
        <v>1</v>
      </c>
      <c r="BG146" s="1">
        <v>1</v>
      </c>
      <c r="BH146" s="43" cm="1">
        <f t="array" ref="BH146">SUMPRODUCT(--((T_MEDIDAS[[#This Row],[Centros de salud o asistencia social]:[Escuelas / Centros de educación]] + $AZ$15:$BF$15)&gt;0))</f>
        <v>7</v>
      </c>
      <c r="BI146" s="44">
        <v>1</v>
      </c>
      <c r="BJ146" s="44">
        <v>0</v>
      </c>
      <c r="BK146" s="44">
        <v>1</v>
      </c>
      <c r="BL146" s="44">
        <v>2</v>
      </c>
      <c r="BM146" s="44">
        <v>3</v>
      </c>
      <c r="BN146" s="44">
        <v>2</v>
      </c>
      <c r="BO146" s="44">
        <v>3</v>
      </c>
      <c r="BP146" s="44">
        <v>3</v>
      </c>
      <c r="BQ146" s="47" cm="1">
        <f t="array" ref="BQ146">T_MEDIDAS[[#This Row],[Aplicación tamaño]]*(SUMPRODUCT(T_MEDIDAS[[#This Row],[C1_Refrigeración]:[C8_Tiempo]],TRANSPOSE('2.PONDERACIÓN'!$L$13:$L$20))+(ROW(C146)-ROW($C$18)+1)*0.0000000001)*100</f>
        <v>187.50000129</v>
      </c>
      <c r="BR146" s="84"/>
      <c r="BS146" s="90"/>
    </row>
    <row r="147" spans="1:71" ht="34.5">
      <c r="A147" s="84"/>
      <c r="B147" s="90"/>
      <c r="C147" s="84"/>
      <c r="D147" s="43">
        <f>IF(T_MEDIDAS[[#This Row],[Peso Criterios]]&lt;=0,"",_xlfn.RANK.EQ(T_MEDIDAS[[#This Row],[Peso Criterios]],T_MEDIDAS[Peso Criterios]))</f>
        <v>51</v>
      </c>
      <c r="E147" s="116" t="s">
        <v>416</v>
      </c>
      <c r="F147" s="126" t="s">
        <v>70</v>
      </c>
      <c r="G147" s="126" t="s">
        <v>50</v>
      </c>
      <c r="H147" s="126" t="s">
        <v>151</v>
      </c>
      <c r="I147" s="126" t="s">
        <v>417</v>
      </c>
      <c r="J147" s="126"/>
      <c r="K147" s="120">
        <v>1</v>
      </c>
      <c r="L147" s="19"/>
      <c r="M147" s="19"/>
      <c r="N147" s="121" t="str">
        <f t="shared" si="8"/>
        <v>€</v>
      </c>
      <c r="O147" s="122"/>
      <c r="P147" s="122">
        <v>1</v>
      </c>
      <c r="Q147" s="20">
        <v>1</v>
      </c>
      <c r="R147" s="122">
        <v>1</v>
      </c>
      <c r="S147" s="34" t="str">
        <f>IF(T_MEDIDAS[[#This Row],[No risk (0)]]=1,"■","")</f>
        <v/>
      </c>
      <c r="T147" s="35" t="str">
        <f>IF(T_MEDIDAS[[#This Row],[Low risk (1)]]=1,"■","")</f>
        <v>■</v>
      </c>
      <c r="U147" s="36" t="str">
        <f>IF(T_MEDIDAS[[#This Row],[Medidaium risk (2)]]=1,"■","")</f>
        <v>■</v>
      </c>
      <c r="V147" s="81" t="str">
        <f>IF(T_MEDIDAS[[#This Row],[High risk (3)]]=1,"■","")</f>
        <v>■</v>
      </c>
      <c r="W147" s="19" t="str">
        <f t="shared" si="9"/>
        <v>4. Alto (Rojo)</v>
      </c>
      <c r="X147" s="19">
        <f>COUNT(T_MEDIDAS[[#This Row],[Edificios públicos]:[Coordinación]])</f>
        <v>1</v>
      </c>
      <c r="Y147" s="19"/>
      <c r="Z147" s="19" t="str">
        <f>IF(T_MEDIDAS[[#This Row],[Edificios públicos]]=1,"Si","No")</f>
        <v>No</v>
      </c>
      <c r="AA147" s="19"/>
      <c r="AB147" s="19" t="str">
        <f>IF(T_MEDIDAS[[#This Row],[Planificación urbana]]=1,"Si","No")</f>
        <v>No</v>
      </c>
      <c r="AC147" s="19"/>
      <c r="AD147" s="19" t="str">
        <f>IF(T_MEDIDAS[[#This Row],[Cultura y deportes]],"Si","No")</f>
        <v>No</v>
      </c>
      <c r="AE147" s="19"/>
      <c r="AF147" s="19" t="str">
        <f>IF(T_MEDIDAS[[#This Row],[Turismo]],"Si","No")</f>
        <v>No</v>
      </c>
      <c r="AG147" s="19"/>
      <c r="AH147" s="19" t="str">
        <f>IF(T_MEDIDAS[[#This Row],[Riesgos laborales]],"Si","No")</f>
        <v>No</v>
      </c>
      <c r="AI147" s="19"/>
      <c r="AJ147" s="19" t="str">
        <f>IF(T_MEDIDAS[[#This Row],[Educación]],"Si","No")</f>
        <v>No</v>
      </c>
      <c r="AK147" s="19"/>
      <c r="AL147" s="19" t="str">
        <f>IF(T_MEDIDAS[[#This Row],[Servicios sociales]],"Si","No")</f>
        <v>No</v>
      </c>
      <c r="AM147" s="19"/>
      <c r="AN147" s="19" t="str">
        <f>IF(T_MEDIDAS[[#This Row],[Servicios de emergencia y policía]],"Si","No")</f>
        <v>No</v>
      </c>
      <c r="AO147" s="19"/>
      <c r="AP147" s="19" t="str">
        <f>IF(T_MEDIDAS[[#This Row],[Parques y jardines]],"Si","No")</f>
        <v>No</v>
      </c>
      <c r="AQ147" s="19"/>
      <c r="AR147" s="19" t="str">
        <f>IF(T_MEDIDAS[[#This Row],[Transporte]],"Si","No")</f>
        <v>No</v>
      </c>
      <c r="AS147" s="125">
        <v>1</v>
      </c>
      <c r="AT147" s="1" t="str">
        <f>IF(T_MEDIDAS[[#This Row],[Coordinación]],"Si","No")</f>
        <v>Si</v>
      </c>
      <c r="AU147" s="2">
        <v>1</v>
      </c>
      <c r="AV147" s="1">
        <v>1</v>
      </c>
      <c r="AW147" s="1">
        <v>1</v>
      </c>
      <c r="AX147" s="1">
        <v>1</v>
      </c>
      <c r="AY147" s="3">
        <v>1</v>
      </c>
      <c r="AZ147" s="43">
        <f>SUMPRODUCT($AT$15:$AX$15,T_MEDIDAS[[#This Row],[&lt;5.000]:[&gt;100.000]])</f>
        <v>1</v>
      </c>
      <c r="BA147" s="1">
        <v>1</v>
      </c>
      <c r="BB147" s="1">
        <v>1</v>
      </c>
      <c r="BC147" s="1">
        <v>1</v>
      </c>
      <c r="BD147" s="1">
        <v>1</v>
      </c>
      <c r="BE147" s="1">
        <v>1</v>
      </c>
      <c r="BF147" s="1">
        <v>1</v>
      </c>
      <c r="BG147" s="1">
        <v>1</v>
      </c>
      <c r="BH147" s="43" cm="1">
        <f t="array" ref="BH147">SUMPRODUCT(--((T_MEDIDAS[[#This Row],[Centros de salud o asistencia social]:[Escuelas / Centros de educación]] + $AZ$15:$BF$15)&gt;0))</f>
        <v>7</v>
      </c>
      <c r="BI147" s="1">
        <v>0</v>
      </c>
      <c r="BJ147" s="1">
        <v>0</v>
      </c>
      <c r="BK147" s="1">
        <v>1</v>
      </c>
      <c r="BL147" s="1">
        <v>3</v>
      </c>
      <c r="BM147" s="1">
        <v>3</v>
      </c>
      <c r="BN147" s="1">
        <v>2</v>
      </c>
      <c r="BO147" s="1">
        <v>3</v>
      </c>
      <c r="BP147" s="1">
        <v>3</v>
      </c>
      <c r="BQ147" s="47" cm="1">
        <f t="array" ref="BQ147">T_MEDIDAS[[#This Row],[Aplicación tamaño]]*(SUMPRODUCT(T_MEDIDAS[[#This Row],[C1_Refrigeración]:[C8_Tiempo]],TRANSPOSE('2.PONDERACIÓN'!$L$13:$L$20))+(ROW(C147)-ROW($C$18)+1)*0.0000000001)*100</f>
        <v>187.50000130000001</v>
      </c>
      <c r="BR147" s="84"/>
      <c r="BS147" s="90"/>
    </row>
    <row r="148" spans="1:71" ht="34.5">
      <c r="A148" s="84"/>
      <c r="B148" s="90"/>
      <c r="C148" s="84"/>
      <c r="D148" s="43">
        <f>IF(T_MEDIDAS[[#This Row],[Peso Criterios]]&lt;=0,"",_xlfn.RANK.EQ(T_MEDIDAS[[#This Row],[Peso Criterios]],T_MEDIDAS[Peso Criterios]))</f>
        <v>50</v>
      </c>
      <c r="E148" s="116" t="s">
        <v>418</v>
      </c>
      <c r="F148" s="126" t="s">
        <v>70</v>
      </c>
      <c r="G148" s="126" t="s">
        <v>50</v>
      </c>
      <c r="H148" s="126" t="s">
        <v>151</v>
      </c>
      <c r="I148" s="126" t="s">
        <v>419</v>
      </c>
      <c r="J148" s="126"/>
      <c r="K148" s="120">
        <v>1</v>
      </c>
      <c r="L148" s="19"/>
      <c r="M148" s="19"/>
      <c r="N148" s="121" t="str">
        <f t="shared" si="8"/>
        <v>€</v>
      </c>
      <c r="O148" s="122">
        <v>1</v>
      </c>
      <c r="P148" s="122">
        <v>1</v>
      </c>
      <c r="Q148" s="20"/>
      <c r="R148" s="122"/>
      <c r="S148" s="34" t="str">
        <f>IF(T_MEDIDAS[[#This Row],[No risk (0)]]=1,"■","")</f>
        <v>■</v>
      </c>
      <c r="T148" s="35" t="str">
        <f>IF(T_MEDIDAS[[#This Row],[Low risk (1)]]=1,"■","")</f>
        <v>■</v>
      </c>
      <c r="U148" s="36" t="str">
        <f>IF(T_MEDIDAS[[#This Row],[Medidaium risk (2)]]=1,"■","")</f>
        <v/>
      </c>
      <c r="V148" s="81" t="str">
        <f>IF(T_MEDIDAS[[#This Row],[High risk (3)]]=1,"■","")</f>
        <v/>
      </c>
      <c r="W148" s="19" t="str">
        <f t="shared" si="9"/>
        <v>2. Bajo (Amarillo)</v>
      </c>
      <c r="X148" s="19">
        <f>COUNT(T_MEDIDAS[[#This Row],[Edificios públicos]:[Coordinación]])</f>
        <v>1</v>
      </c>
      <c r="Y148" s="19"/>
      <c r="Z148" s="19" t="str">
        <f>IF(T_MEDIDAS[[#This Row],[Edificios públicos]]=1,"Si","No")</f>
        <v>No</v>
      </c>
      <c r="AA148" s="19"/>
      <c r="AB148" s="19" t="str">
        <f>IF(T_MEDIDAS[[#This Row],[Planificación urbana]]=1,"Si","No")</f>
        <v>No</v>
      </c>
      <c r="AC148" s="19"/>
      <c r="AD148" s="19" t="str">
        <f>IF(T_MEDIDAS[[#This Row],[Cultura y deportes]],"Si","No")</f>
        <v>No</v>
      </c>
      <c r="AE148" s="19"/>
      <c r="AF148" s="19" t="str">
        <f>IF(T_MEDIDAS[[#This Row],[Turismo]],"Si","No")</f>
        <v>No</v>
      </c>
      <c r="AG148" s="19"/>
      <c r="AH148" s="19" t="str">
        <f>IF(T_MEDIDAS[[#This Row],[Riesgos laborales]],"Si","No")</f>
        <v>No</v>
      </c>
      <c r="AI148" s="19"/>
      <c r="AJ148" s="19" t="str">
        <f>IF(T_MEDIDAS[[#This Row],[Educación]],"Si","No")</f>
        <v>No</v>
      </c>
      <c r="AK148" s="19"/>
      <c r="AL148" s="19" t="str">
        <f>IF(T_MEDIDAS[[#This Row],[Servicios sociales]],"Si","No")</f>
        <v>No</v>
      </c>
      <c r="AM148" s="19"/>
      <c r="AN148" s="19" t="str">
        <f>IF(T_MEDIDAS[[#This Row],[Servicios de emergencia y policía]],"Si","No")</f>
        <v>No</v>
      </c>
      <c r="AO148" s="19"/>
      <c r="AP148" s="19" t="str">
        <f>IF(T_MEDIDAS[[#This Row],[Parques y jardines]],"Si","No")</f>
        <v>No</v>
      </c>
      <c r="AQ148" s="19"/>
      <c r="AR148" s="19" t="str">
        <f>IF(T_MEDIDAS[[#This Row],[Transporte]],"Si","No")</f>
        <v>No</v>
      </c>
      <c r="AS148" s="125">
        <v>1</v>
      </c>
      <c r="AT148" s="1" t="str">
        <f>IF(T_MEDIDAS[[#This Row],[Coordinación]],"Si","No")</f>
        <v>Si</v>
      </c>
      <c r="AU148" s="2">
        <v>1</v>
      </c>
      <c r="AV148" s="1">
        <v>1</v>
      </c>
      <c r="AW148" s="1">
        <v>1</v>
      </c>
      <c r="AX148" s="1">
        <v>1</v>
      </c>
      <c r="AY148" s="3">
        <v>1</v>
      </c>
      <c r="AZ148" s="43">
        <f>SUMPRODUCT($AT$15:$AX$15,T_MEDIDAS[[#This Row],[&lt;5.000]:[&gt;100.000]])</f>
        <v>1</v>
      </c>
      <c r="BA148" s="1">
        <v>1</v>
      </c>
      <c r="BB148" s="1">
        <v>1</v>
      </c>
      <c r="BC148" s="1">
        <v>1</v>
      </c>
      <c r="BD148" s="1">
        <v>1</v>
      </c>
      <c r="BE148" s="1">
        <v>1</v>
      </c>
      <c r="BF148" s="1">
        <v>1</v>
      </c>
      <c r="BG148" s="1">
        <v>1</v>
      </c>
      <c r="BH148" s="43" cm="1">
        <f t="array" ref="BH148">SUMPRODUCT(--((T_MEDIDAS[[#This Row],[Centros de salud o asistencia social]:[Escuelas / Centros de educación]] + $AZ$15:$BF$15)&gt;0))</f>
        <v>7</v>
      </c>
      <c r="BI148" s="44">
        <v>0</v>
      </c>
      <c r="BJ148" s="44">
        <v>0</v>
      </c>
      <c r="BK148" s="44">
        <v>1</v>
      </c>
      <c r="BL148" s="44">
        <v>3</v>
      </c>
      <c r="BM148" s="44">
        <v>3</v>
      </c>
      <c r="BN148" s="44">
        <v>2</v>
      </c>
      <c r="BO148" s="44">
        <v>3</v>
      </c>
      <c r="BP148" s="44">
        <v>3</v>
      </c>
      <c r="BQ148" s="47" cm="1">
        <f t="array" ref="BQ148">T_MEDIDAS[[#This Row],[Aplicación tamaño]]*(SUMPRODUCT(T_MEDIDAS[[#This Row],[C1_Refrigeración]:[C8_Tiempo]],TRANSPOSE('2.PONDERACIÓN'!$L$13:$L$20))+(ROW(C148)-ROW($C$18)+1)*0.0000000001)*100</f>
        <v>187.50000130999999</v>
      </c>
      <c r="BR148" s="84"/>
      <c r="BS148" s="90"/>
    </row>
    <row r="149" spans="1:71" ht="34.5">
      <c r="A149" s="84"/>
      <c r="B149" s="90"/>
      <c r="C149" s="84"/>
      <c r="D149" s="43">
        <f>IF(T_MEDIDAS[[#This Row],[Peso Criterios]]&lt;=0,"",_xlfn.RANK.EQ(T_MEDIDAS[[#This Row],[Peso Criterios]],T_MEDIDAS[Peso Criterios]))</f>
        <v>49</v>
      </c>
      <c r="E149" s="116" t="s">
        <v>420</v>
      </c>
      <c r="F149" s="126" t="s">
        <v>70</v>
      </c>
      <c r="G149" s="126" t="s">
        <v>50</v>
      </c>
      <c r="H149" s="126" t="s">
        <v>160</v>
      </c>
      <c r="I149" s="126" t="s">
        <v>421</v>
      </c>
      <c r="J149" s="126"/>
      <c r="K149" s="120">
        <v>1</v>
      </c>
      <c r="L149" s="19"/>
      <c r="M149" s="19"/>
      <c r="N149" s="121" t="str">
        <f t="shared" si="8"/>
        <v>€</v>
      </c>
      <c r="O149" s="122"/>
      <c r="P149" s="122">
        <v>1</v>
      </c>
      <c r="Q149" s="20">
        <v>1</v>
      </c>
      <c r="R149" s="122">
        <v>1</v>
      </c>
      <c r="S149" s="34" t="str">
        <f>IF(T_MEDIDAS[[#This Row],[No risk (0)]]=1,"■","")</f>
        <v/>
      </c>
      <c r="T149" s="35" t="str">
        <f>IF(T_MEDIDAS[[#This Row],[Low risk (1)]]=1,"■","")</f>
        <v>■</v>
      </c>
      <c r="U149" s="36" t="str">
        <f>IF(T_MEDIDAS[[#This Row],[Medidaium risk (2)]]=1,"■","")</f>
        <v>■</v>
      </c>
      <c r="V149" s="81" t="str">
        <f>IF(T_MEDIDAS[[#This Row],[High risk (3)]]=1,"■","")</f>
        <v>■</v>
      </c>
      <c r="W149" s="19" t="str">
        <f t="shared" si="9"/>
        <v>4. Alto (Rojo)</v>
      </c>
      <c r="X149" s="19">
        <f>COUNT(T_MEDIDAS[[#This Row],[Edificios públicos]:[Coordinación]])</f>
        <v>1</v>
      </c>
      <c r="Y149" s="19"/>
      <c r="Z149" s="19" t="str">
        <f>IF(T_MEDIDAS[[#This Row],[Edificios públicos]]=1,"Si","No")</f>
        <v>No</v>
      </c>
      <c r="AA149" s="19"/>
      <c r="AB149" s="19" t="str">
        <f>IF(T_MEDIDAS[[#This Row],[Planificación urbana]]=1,"Si","No")</f>
        <v>No</v>
      </c>
      <c r="AC149" s="19"/>
      <c r="AD149" s="19" t="str">
        <f>IF(T_MEDIDAS[[#This Row],[Cultura y deportes]],"Si","No")</f>
        <v>No</v>
      </c>
      <c r="AE149" s="19"/>
      <c r="AF149" s="19" t="str">
        <f>IF(T_MEDIDAS[[#This Row],[Turismo]],"Si","No")</f>
        <v>No</v>
      </c>
      <c r="AG149" s="19"/>
      <c r="AH149" s="19" t="str">
        <f>IF(T_MEDIDAS[[#This Row],[Riesgos laborales]],"Si","No")</f>
        <v>No</v>
      </c>
      <c r="AI149" s="19"/>
      <c r="AJ149" s="19" t="str">
        <f>IF(T_MEDIDAS[[#This Row],[Educación]],"Si","No")</f>
        <v>No</v>
      </c>
      <c r="AK149" s="19">
        <v>1</v>
      </c>
      <c r="AL149" s="19" t="str">
        <f>IF(T_MEDIDAS[[#This Row],[Servicios sociales]],"Si","No")</f>
        <v>Si</v>
      </c>
      <c r="AM149" s="19"/>
      <c r="AN149" s="19" t="str">
        <f>IF(T_MEDIDAS[[#This Row],[Servicios de emergencia y policía]],"Si","No")</f>
        <v>No</v>
      </c>
      <c r="AO149" s="19"/>
      <c r="AP149" s="19" t="str">
        <f>IF(T_MEDIDAS[[#This Row],[Parques y jardines]],"Si","No")</f>
        <v>No</v>
      </c>
      <c r="AQ149" s="19"/>
      <c r="AR149" s="19" t="str">
        <f>IF(T_MEDIDAS[[#This Row],[Transporte]],"Si","No")</f>
        <v>No</v>
      </c>
      <c r="AS149" s="125"/>
      <c r="AT149" s="1" t="str">
        <f>IF(T_MEDIDAS[[#This Row],[Coordinación]],"Si","No")</f>
        <v>No</v>
      </c>
      <c r="AU149" s="2">
        <v>1</v>
      </c>
      <c r="AV149" s="1">
        <v>1</v>
      </c>
      <c r="AW149" s="1">
        <v>1</v>
      </c>
      <c r="AX149" s="1">
        <v>1</v>
      </c>
      <c r="AY149" s="3">
        <v>1</v>
      </c>
      <c r="AZ149" s="43">
        <f>SUMPRODUCT($AT$15:$AX$15,T_MEDIDAS[[#This Row],[&lt;5.000]:[&gt;100.000]])</f>
        <v>1</v>
      </c>
      <c r="BA149" s="1">
        <v>1</v>
      </c>
      <c r="BB149" s="1">
        <v>1</v>
      </c>
      <c r="BC149" s="1">
        <v>1</v>
      </c>
      <c r="BD149" s="1">
        <v>1</v>
      </c>
      <c r="BE149" s="1">
        <v>1</v>
      </c>
      <c r="BF149" s="1">
        <v>1</v>
      </c>
      <c r="BG149" s="1">
        <v>1</v>
      </c>
      <c r="BH149" s="43" cm="1">
        <f t="array" ref="BH149">SUMPRODUCT(--((T_MEDIDAS[[#This Row],[Centros de salud o asistencia social]:[Escuelas / Centros de educación]] + $AZ$15:$BF$15)&gt;0))</f>
        <v>7</v>
      </c>
      <c r="BI149" s="1">
        <v>0</v>
      </c>
      <c r="BJ149" s="1">
        <v>0</v>
      </c>
      <c r="BK149" s="1">
        <v>3</v>
      </c>
      <c r="BL149" s="1">
        <v>2</v>
      </c>
      <c r="BM149" s="1">
        <v>3</v>
      </c>
      <c r="BN149" s="1">
        <v>2</v>
      </c>
      <c r="BO149" s="1">
        <v>2</v>
      </c>
      <c r="BP149" s="1">
        <v>3</v>
      </c>
      <c r="BQ149" s="47" cm="1">
        <f t="array" ref="BQ149">T_MEDIDAS[[#This Row],[Aplicación tamaño]]*(SUMPRODUCT(T_MEDIDAS[[#This Row],[C1_Refrigeración]:[C8_Tiempo]],TRANSPOSE('2.PONDERACIÓN'!$L$13:$L$20))+(ROW(C149)-ROW($C$18)+1)*0.0000000001)*100</f>
        <v>187.50000132</v>
      </c>
      <c r="BR149" s="84"/>
      <c r="BS149" s="90"/>
    </row>
    <row r="150" spans="1:71" ht="34.5">
      <c r="A150" s="84"/>
      <c r="B150" s="90"/>
      <c r="C150" s="84"/>
      <c r="D150" s="43">
        <f>IF(T_MEDIDAS[[#This Row],[Peso Criterios]]&lt;=0,"",_xlfn.RANK.EQ(T_MEDIDAS[[#This Row],[Peso Criterios]],T_MEDIDAS[Peso Criterios]))</f>
        <v>48</v>
      </c>
      <c r="E150" s="116" t="s">
        <v>422</v>
      </c>
      <c r="F150" s="126" t="s">
        <v>70</v>
      </c>
      <c r="G150" s="126" t="s">
        <v>50</v>
      </c>
      <c r="H150" s="126" t="s">
        <v>160</v>
      </c>
      <c r="I150" s="126" t="s">
        <v>423</v>
      </c>
      <c r="J150" s="126"/>
      <c r="K150" s="120">
        <v>1</v>
      </c>
      <c r="L150" s="19"/>
      <c r="M150" s="19"/>
      <c r="N150" s="121" t="str">
        <f t="shared" si="8"/>
        <v>€</v>
      </c>
      <c r="O150" s="122"/>
      <c r="P150" s="122">
        <v>1</v>
      </c>
      <c r="Q150" s="20">
        <v>1</v>
      </c>
      <c r="R150" s="122">
        <v>1</v>
      </c>
      <c r="S150" s="34" t="str">
        <f>IF(T_MEDIDAS[[#This Row],[No risk (0)]]=1,"■","")</f>
        <v/>
      </c>
      <c r="T150" s="35" t="str">
        <f>IF(T_MEDIDAS[[#This Row],[Low risk (1)]]=1,"■","")</f>
        <v>■</v>
      </c>
      <c r="U150" s="36" t="str">
        <f>IF(T_MEDIDAS[[#This Row],[Medidaium risk (2)]]=1,"■","")</f>
        <v>■</v>
      </c>
      <c r="V150" s="81" t="str">
        <f>IF(T_MEDIDAS[[#This Row],[High risk (3)]]=1,"■","")</f>
        <v>■</v>
      </c>
      <c r="W150" s="19" t="str">
        <f t="shared" si="9"/>
        <v>4. Alto (Rojo)</v>
      </c>
      <c r="X150" s="19">
        <f>COUNT(T_MEDIDAS[[#This Row],[Edificios públicos]:[Coordinación]])</f>
        <v>1</v>
      </c>
      <c r="Y150" s="19"/>
      <c r="Z150" s="19" t="str">
        <f>IF(T_MEDIDAS[[#This Row],[Edificios públicos]]=1,"Si","No")</f>
        <v>No</v>
      </c>
      <c r="AA150" s="19"/>
      <c r="AB150" s="19" t="str">
        <f>IF(T_MEDIDAS[[#This Row],[Planificación urbana]]=1,"Si","No")</f>
        <v>No</v>
      </c>
      <c r="AC150" s="19"/>
      <c r="AD150" s="19" t="str">
        <f>IF(T_MEDIDAS[[#This Row],[Cultura y deportes]],"Si","No")</f>
        <v>No</v>
      </c>
      <c r="AE150" s="19"/>
      <c r="AF150" s="19" t="str">
        <f>IF(T_MEDIDAS[[#This Row],[Turismo]],"Si","No")</f>
        <v>No</v>
      </c>
      <c r="AG150" s="19">
        <v>1</v>
      </c>
      <c r="AH150" s="19" t="str">
        <f>IF(T_MEDIDAS[[#This Row],[Riesgos laborales]],"Si","No")</f>
        <v>Si</v>
      </c>
      <c r="AI150" s="19"/>
      <c r="AJ150" s="19" t="str">
        <f>IF(T_MEDIDAS[[#This Row],[Educación]],"Si","No")</f>
        <v>No</v>
      </c>
      <c r="AK150" s="19"/>
      <c r="AL150" s="19" t="str">
        <f>IF(T_MEDIDAS[[#This Row],[Servicios sociales]],"Si","No")</f>
        <v>No</v>
      </c>
      <c r="AM150" s="19"/>
      <c r="AN150" s="19" t="str">
        <f>IF(T_MEDIDAS[[#This Row],[Servicios de emergencia y policía]],"Si","No")</f>
        <v>No</v>
      </c>
      <c r="AO150" s="19"/>
      <c r="AP150" s="19" t="str">
        <f>IF(T_MEDIDAS[[#This Row],[Parques y jardines]],"Si","No")</f>
        <v>No</v>
      </c>
      <c r="AQ150" s="19"/>
      <c r="AR150" s="19" t="str">
        <f>IF(T_MEDIDAS[[#This Row],[Transporte]],"Si","No")</f>
        <v>No</v>
      </c>
      <c r="AS150" s="125"/>
      <c r="AT150" s="1" t="str">
        <f>IF(T_MEDIDAS[[#This Row],[Coordinación]],"Si","No")</f>
        <v>No</v>
      </c>
      <c r="AU150" s="2">
        <v>1</v>
      </c>
      <c r="AV150" s="1">
        <v>1</v>
      </c>
      <c r="AW150" s="1">
        <v>1</v>
      </c>
      <c r="AX150" s="1">
        <v>1</v>
      </c>
      <c r="AY150" s="3">
        <v>1</v>
      </c>
      <c r="AZ150" s="43">
        <f>SUMPRODUCT($AT$15:$AX$15,T_MEDIDAS[[#This Row],[&lt;5.000]:[&gt;100.000]])</f>
        <v>1</v>
      </c>
      <c r="BA150" s="1">
        <v>1</v>
      </c>
      <c r="BB150" s="1">
        <v>1</v>
      </c>
      <c r="BC150" s="1">
        <v>1</v>
      </c>
      <c r="BD150" s="1">
        <v>1</v>
      </c>
      <c r="BE150" s="1">
        <v>1</v>
      </c>
      <c r="BF150" s="1">
        <v>1</v>
      </c>
      <c r="BG150" s="1">
        <v>1</v>
      </c>
      <c r="BH150" s="43" cm="1">
        <f t="array" ref="BH150">SUMPRODUCT(--((T_MEDIDAS[[#This Row],[Centros de salud o asistencia social]:[Escuelas / Centros de educación]] + $AZ$15:$BF$15)&gt;0))</f>
        <v>7</v>
      </c>
      <c r="BI150" s="44">
        <v>0</v>
      </c>
      <c r="BJ150" s="44">
        <v>0</v>
      </c>
      <c r="BK150" s="44">
        <v>2</v>
      </c>
      <c r="BL150" s="44">
        <v>2</v>
      </c>
      <c r="BM150" s="44">
        <v>3</v>
      </c>
      <c r="BN150" s="44">
        <v>2</v>
      </c>
      <c r="BO150" s="44">
        <v>3</v>
      </c>
      <c r="BP150" s="44">
        <v>3</v>
      </c>
      <c r="BQ150" s="47" cm="1">
        <f t="array" ref="BQ150">T_MEDIDAS[[#This Row],[Aplicación tamaño]]*(SUMPRODUCT(T_MEDIDAS[[#This Row],[C1_Refrigeración]:[C8_Tiempo]],TRANSPOSE('2.PONDERACIÓN'!$L$13:$L$20))+(ROW(C150)-ROW($C$18)+1)*0.0000000001)*100</f>
        <v>187.50000133</v>
      </c>
      <c r="BR150" s="84"/>
      <c r="BS150" s="90"/>
    </row>
    <row r="151" spans="1:71" ht="34.5">
      <c r="A151" s="84"/>
      <c r="B151" s="90"/>
      <c r="C151" s="84"/>
      <c r="D151" s="43">
        <f>IF(T_MEDIDAS[[#This Row],[Peso Criterios]]&lt;=0,"",_xlfn.RANK.EQ(T_MEDIDAS[[#This Row],[Peso Criterios]],T_MEDIDAS[Peso Criterios]))</f>
        <v>11</v>
      </c>
      <c r="E151" s="116" t="s">
        <v>424</v>
      </c>
      <c r="F151" s="126" t="s">
        <v>70</v>
      </c>
      <c r="G151" s="126" t="s">
        <v>50</v>
      </c>
      <c r="H151" s="126" t="s">
        <v>151</v>
      </c>
      <c r="I151" s="126" t="s">
        <v>425</v>
      </c>
      <c r="J151" s="126"/>
      <c r="K151" s="120">
        <v>1</v>
      </c>
      <c r="L151" s="19"/>
      <c r="M151" s="19"/>
      <c r="N151" s="121" t="str">
        <f t="shared" si="8"/>
        <v>€</v>
      </c>
      <c r="O151" s="122"/>
      <c r="P151" s="122">
        <v>1</v>
      </c>
      <c r="Q151" s="20">
        <v>1</v>
      </c>
      <c r="R151" s="122">
        <v>1</v>
      </c>
      <c r="S151" s="34" t="str">
        <f>IF(T_MEDIDAS[[#This Row],[No risk (0)]]=1,"■","")</f>
        <v/>
      </c>
      <c r="T151" s="35" t="str">
        <f>IF(T_MEDIDAS[[#This Row],[Low risk (1)]]=1,"■","")</f>
        <v>■</v>
      </c>
      <c r="U151" s="36" t="str">
        <f>IF(T_MEDIDAS[[#This Row],[Medidaium risk (2)]]=1,"■","")</f>
        <v>■</v>
      </c>
      <c r="V151" s="81" t="str">
        <f>IF(T_MEDIDAS[[#This Row],[High risk (3)]]=1,"■","")</f>
        <v>■</v>
      </c>
      <c r="W151" s="19" t="str">
        <f t="shared" si="9"/>
        <v>4. Alto (Rojo)</v>
      </c>
      <c r="X151" s="19">
        <f>COUNT(T_MEDIDAS[[#This Row],[Edificios públicos]:[Coordinación]])</f>
        <v>1</v>
      </c>
      <c r="Y151" s="19"/>
      <c r="Z151" s="19" t="str">
        <f>IF(T_MEDIDAS[[#This Row],[Edificios públicos]]=1,"Si","No")</f>
        <v>No</v>
      </c>
      <c r="AA151" s="19"/>
      <c r="AB151" s="19" t="str">
        <f>IF(T_MEDIDAS[[#This Row],[Planificación urbana]]=1,"Si","No")</f>
        <v>No</v>
      </c>
      <c r="AC151" s="19"/>
      <c r="AD151" s="19" t="str">
        <f>IF(T_MEDIDAS[[#This Row],[Cultura y deportes]],"Si","No")</f>
        <v>No</v>
      </c>
      <c r="AE151" s="19"/>
      <c r="AF151" s="19" t="str">
        <f>IF(T_MEDIDAS[[#This Row],[Turismo]],"Si","No")</f>
        <v>No</v>
      </c>
      <c r="AG151" s="19"/>
      <c r="AH151" s="19" t="str">
        <f>IF(T_MEDIDAS[[#This Row],[Riesgos laborales]],"Si","No")</f>
        <v>No</v>
      </c>
      <c r="AI151" s="19"/>
      <c r="AJ151" s="19" t="str">
        <f>IF(T_MEDIDAS[[#This Row],[Educación]],"Si","No")</f>
        <v>No</v>
      </c>
      <c r="AK151" s="19">
        <v>1</v>
      </c>
      <c r="AL151" s="19" t="str">
        <f>IF(T_MEDIDAS[[#This Row],[Servicios sociales]],"Si","No")</f>
        <v>Si</v>
      </c>
      <c r="AM151" s="19"/>
      <c r="AN151" s="19" t="str">
        <f>IF(T_MEDIDAS[[#This Row],[Servicios de emergencia y policía]],"Si","No")</f>
        <v>No</v>
      </c>
      <c r="AO151" s="19"/>
      <c r="AP151" s="19" t="str">
        <f>IF(T_MEDIDAS[[#This Row],[Parques y jardines]],"Si","No")</f>
        <v>No</v>
      </c>
      <c r="AQ151" s="19"/>
      <c r="AR151" s="19" t="str">
        <f>IF(T_MEDIDAS[[#This Row],[Transporte]],"Si","No")</f>
        <v>No</v>
      </c>
      <c r="AS151" s="125"/>
      <c r="AT151" s="1" t="str">
        <f>IF(T_MEDIDAS[[#This Row],[Coordinación]],"Si","No")</f>
        <v>No</v>
      </c>
      <c r="AU151" s="2">
        <v>1</v>
      </c>
      <c r="AV151" s="1">
        <v>1</v>
      </c>
      <c r="AW151" s="1">
        <v>1</v>
      </c>
      <c r="AX151" s="1">
        <v>1</v>
      </c>
      <c r="AY151" s="3">
        <v>1</v>
      </c>
      <c r="AZ151" s="43">
        <f>SUMPRODUCT($AT$15:$AX$15,T_MEDIDAS[[#This Row],[&lt;5.000]:[&gt;100.000]])</f>
        <v>1</v>
      </c>
      <c r="BA151" s="1">
        <v>1</v>
      </c>
      <c r="BB151" s="1">
        <v>1</v>
      </c>
      <c r="BC151" s="1">
        <v>1</v>
      </c>
      <c r="BD151" s="1">
        <v>1</v>
      </c>
      <c r="BE151" s="1">
        <v>1</v>
      </c>
      <c r="BF151" s="1">
        <v>1</v>
      </c>
      <c r="BG151" s="1">
        <v>1</v>
      </c>
      <c r="BH151" s="43" cm="1">
        <f t="array" ref="BH151">SUMPRODUCT(--((T_MEDIDAS[[#This Row],[Centros de salud o asistencia social]:[Escuelas / Centros de educación]] + $AZ$15:$BF$15)&gt;0))</f>
        <v>7</v>
      </c>
      <c r="BI151" s="1">
        <v>0</v>
      </c>
      <c r="BJ151" s="1">
        <v>0</v>
      </c>
      <c r="BK151" s="1">
        <v>2</v>
      </c>
      <c r="BL151" s="1">
        <v>3</v>
      </c>
      <c r="BM151" s="1">
        <v>3</v>
      </c>
      <c r="BN151" s="1">
        <v>2</v>
      </c>
      <c r="BO151" s="1">
        <v>3</v>
      </c>
      <c r="BP151" s="1">
        <v>3</v>
      </c>
      <c r="BQ151" s="47" cm="1">
        <f t="array" ref="BQ151">T_MEDIDAS[[#This Row],[Aplicación tamaño]]*(SUMPRODUCT(T_MEDIDAS[[#This Row],[C1_Refrigeración]:[C8_Tiempo]],TRANSPOSE('2.PONDERACIÓN'!$L$13:$L$20))+(ROW(C151)-ROW($C$18)+1)*0.0000000001)*100</f>
        <v>200.00000134000001</v>
      </c>
      <c r="BR151" s="84"/>
      <c r="BS151" s="90"/>
    </row>
    <row r="152" spans="1:71" ht="34.5">
      <c r="A152" s="84"/>
      <c r="B152" s="90"/>
      <c r="C152" s="84"/>
      <c r="D152" s="43">
        <f>IF(T_MEDIDAS[[#This Row],[Peso Criterios]]&lt;=0,"",_xlfn.RANK.EQ(T_MEDIDAS[[#This Row],[Peso Criterios]],T_MEDIDAS[Peso Criterios]))</f>
        <v>47</v>
      </c>
      <c r="E152" s="116" t="s">
        <v>426</v>
      </c>
      <c r="F152" s="126" t="s">
        <v>70</v>
      </c>
      <c r="G152" s="126" t="s">
        <v>50</v>
      </c>
      <c r="H152" s="126" t="s">
        <v>151</v>
      </c>
      <c r="I152" s="126" t="s">
        <v>427</v>
      </c>
      <c r="J152" s="126"/>
      <c r="K152" s="120">
        <v>1</v>
      </c>
      <c r="L152" s="19"/>
      <c r="M152" s="19"/>
      <c r="N152" s="121" t="str">
        <f t="shared" si="8"/>
        <v>€</v>
      </c>
      <c r="O152" s="122"/>
      <c r="P152" s="122">
        <v>1</v>
      </c>
      <c r="Q152" s="20">
        <v>1</v>
      </c>
      <c r="R152" s="122">
        <v>1</v>
      </c>
      <c r="S152" s="34" t="str">
        <f>IF(T_MEDIDAS[[#This Row],[No risk (0)]]=1,"■","")</f>
        <v/>
      </c>
      <c r="T152" s="35" t="str">
        <f>IF(T_MEDIDAS[[#This Row],[Low risk (1)]]=1,"■","")</f>
        <v>■</v>
      </c>
      <c r="U152" s="36" t="str">
        <f>IF(T_MEDIDAS[[#This Row],[Medidaium risk (2)]]=1,"■","")</f>
        <v>■</v>
      </c>
      <c r="V152" s="81" t="str">
        <f>IF(T_MEDIDAS[[#This Row],[High risk (3)]]=1,"■","")</f>
        <v>■</v>
      </c>
      <c r="W152" s="19" t="str">
        <f t="shared" si="9"/>
        <v>4. Alto (Rojo)</v>
      </c>
      <c r="X152" s="19">
        <f>COUNT(T_MEDIDAS[[#This Row],[Edificios públicos]:[Coordinación]])</f>
        <v>2</v>
      </c>
      <c r="Y152" s="19"/>
      <c r="Z152" s="19" t="str">
        <f>IF(T_MEDIDAS[[#This Row],[Edificios públicos]]=1,"Si","No")</f>
        <v>No</v>
      </c>
      <c r="AA152" s="19"/>
      <c r="AB152" s="19" t="str">
        <f>IF(T_MEDIDAS[[#This Row],[Planificación urbana]]=1,"Si","No")</f>
        <v>No</v>
      </c>
      <c r="AC152" s="19"/>
      <c r="AD152" s="19" t="str">
        <f>IF(T_MEDIDAS[[#This Row],[Cultura y deportes]],"Si","No")</f>
        <v>No</v>
      </c>
      <c r="AE152" s="19"/>
      <c r="AF152" s="19" t="str">
        <f>IF(T_MEDIDAS[[#This Row],[Turismo]],"Si","No")</f>
        <v>No</v>
      </c>
      <c r="AG152" s="19"/>
      <c r="AH152" s="19" t="str">
        <f>IF(T_MEDIDAS[[#This Row],[Riesgos laborales]],"Si","No")</f>
        <v>No</v>
      </c>
      <c r="AI152" s="19"/>
      <c r="AJ152" s="19" t="str">
        <f>IF(T_MEDIDAS[[#This Row],[Educación]],"Si","No")</f>
        <v>No</v>
      </c>
      <c r="AK152" s="19"/>
      <c r="AL152" s="19" t="str">
        <f>IF(T_MEDIDAS[[#This Row],[Servicios sociales]],"Si","No")</f>
        <v>No</v>
      </c>
      <c r="AM152" s="19">
        <v>1</v>
      </c>
      <c r="AN152" s="19" t="str">
        <f>IF(T_MEDIDAS[[#This Row],[Servicios de emergencia y policía]],"Si","No")</f>
        <v>Si</v>
      </c>
      <c r="AO152" s="19"/>
      <c r="AP152" s="19" t="str">
        <f>IF(T_MEDIDAS[[#This Row],[Parques y jardines]],"Si","No")</f>
        <v>No</v>
      </c>
      <c r="AQ152" s="19"/>
      <c r="AR152" s="19" t="str">
        <f>IF(T_MEDIDAS[[#This Row],[Transporte]],"Si","No")</f>
        <v>No</v>
      </c>
      <c r="AS152" s="125">
        <v>1</v>
      </c>
      <c r="AT152" s="1" t="str">
        <f>IF(T_MEDIDAS[[#This Row],[Coordinación]],"Si","No")</f>
        <v>Si</v>
      </c>
      <c r="AU152" s="2">
        <v>1</v>
      </c>
      <c r="AV152" s="1">
        <v>1</v>
      </c>
      <c r="AW152" s="1">
        <v>1</v>
      </c>
      <c r="AX152" s="1">
        <v>1</v>
      </c>
      <c r="AY152" s="3">
        <v>1</v>
      </c>
      <c r="AZ152" s="43">
        <f>SUMPRODUCT($AT$15:$AX$15,T_MEDIDAS[[#This Row],[&lt;5.000]:[&gt;100.000]])</f>
        <v>1</v>
      </c>
      <c r="BA152" s="1">
        <v>1</v>
      </c>
      <c r="BB152" s="1">
        <v>1</v>
      </c>
      <c r="BC152" s="1">
        <v>1</v>
      </c>
      <c r="BD152" s="1">
        <v>1</v>
      </c>
      <c r="BE152" s="1">
        <v>1</v>
      </c>
      <c r="BF152" s="1">
        <v>1</v>
      </c>
      <c r="BG152" s="1">
        <v>1</v>
      </c>
      <c r="BH152" s="43" cm="1">
        <f t="array" ref="BH152">SUMPRODUCT(--((T_MEDIDAS[[#This Row],[Centros de salud o asistencia social]:[Escuelas / Centros de educación]] + $AZ$15:$BF$15)&gt;0))</f>
        <v>7</v>
      </c>
      <c r="BI152" s="44">
        <v>0</v>
      </c>
      <c r="BJ152" s="44">
        <v>0</v>
      </c>
      <c r="BK152" s="44">
        <v>2</v>
      </c>
      <c r="BL152" s="44">
        <v>2</v>
      </c>
      <c r="BM152" s="44">
        <v>3</v>
      </c>
      <c r="BN152" s="44">
        <v>2</v>
      </c>
      <c r="BO152" s="44">
        <v>3</v>
      </c>
      <c r="BP152" s="44">
        <v>3</v>
      </c>
      <c r="BQ152" s="47" cm="1">
        <f t="array" ref="BQ152">T_MEDIDAS[[#This Row],[Aplicación tamaño]]*(SUMPRODUCT(T_MEDIDAS[[#This Row],[C1_Refrigeración]:[C8_Tiempo]],TRANSPOSE('2.PONDERACIÓN'!$L$13:$L$20))+(ROW(C152)-ROW($C$18)+1)*0.0000000001)*100</f>
        <v>187.50000134999999</v>
      </c>
      <c r="BR152" s="84"/>
      <c r="BS152" s="90"/>
    </row>
    <row r="153" spans="1:71" ht="34.5">
      <c r="A153" s="84"/>
      <c r="B153" s="90"/>
      <c r="C153" s="84"/>
      <c r="D153" s="43">
        <f>IF(T_MEDIDAS[[#This Row],[Peso Criterios]]&lt;=0,"",_xlfn.RANK.EQ(T_MEDIDAS[[#This Row],[Peso Criterios]],T_MEDIDAS[Peso Criterios]))</f>
        <v>46</v>
      </c>
      <c r="E153" s="116" t="s">
        <v>428</v>
      </c>
      <c r="F153" s="126" t="s">
        <v>70</v>
      </c>
      <c r="G153" s="126" t="s">
        <v>50</v>
      </c>
      <c r="H153" s="126" t="s">
        <v>160</v>
      </c>
      <c r="I153" s="126" t="s">
        <v>429</v>
      </c>
      <c r="J153" s="126"/>
      <c r="K153" s="120">
        <v>1</v>
      </c>
      <c r="L153" s="19"/>
      <c r="M153" s="19"/>
      <c r="N153" s="121" t="str">
        <f t="shared" si="8"/>
        <v>€</v>
      </c>
      <c r="O153" s="122"/>
      <c r="P153" s="122">
        <v>1</v>
      </c>
      <c r="Q153" s="20">
        <v>1</v>
      </c>
      <c r="R153" s="122">
        <v>1</v>
      </c>
      <c r="S153" s="34" t="str">
        <f>IF(T_MEDIDAS[[#This Row],[No risk (0)]]=1,"■","")</f>
        <v/>
      </c>
      <c r="T153" s="35" t="str">
        <f>IF(T_MEDIDAS[[#This Row],[Low risk (1)]]=1,"■","")</f>
        <v>■</v>
      </c>
      <c r="U153" s="36" t="str">
        <f>IF(T_MEDIDAS[[#This Row],[Medidaium risk (2)]]=1,"■","")</f>
        <v>■</v>
      </c>
      <c r="V153" s="81" t="str">
        <f>IF(T_MEDIDAS[[#This Row],[High risk (3)]]=1,"■","")</f>
        <v>■</v>
      </c>
      <c r="W153" s="19" t="str">
        <f t="shared" si="9"/>
        <v>4. Alto (Rojo)</v>
      </c>
      <c r="X153" s="19">
        <f>COUNT(T_MEDIDAS[[#This Row],[Edificios públicos]:[Coordinación]])</f>
        <v>1</v>
      </c>
      <c r="Y153" s="19"/>
      <c r="Z153" s="19" t="str">
        <f>IF(T_MEDIDAS[[#This Row],[Edificios públicos]]=1,"Si","No")</f>
        <v>No</v>
      </c>
      <c r="AA153" s="19"/>
      <c r="AB153" s="19" t="str">
        <f>IF(T_MEDIDAS[[#This Row],[Planificación urbana]]=1,"Si","No")</f>
        <v>No</v>
      </c>
      <c r="AC153" s="19"/>
      <c r="AD153" s="19" t="str">
        <f>IF(T_MEDIDAS[[#This Row],[Cultura y deportes]],"Si","No")</f>
        <v>No</v>
      </c>
      <c r="AE153" s="19"/>
      <c r="AF153" s="19" t="str">
        <f>IF(T_MEDIDAS[[#This Row],[Turismo]],"Si","No")</f>
        <v>No</v>
      </c>
      <c r="AG153" s="19"/>
      <c r="AH153" s="19" t="str">
        <f>IF(T_MEDIDAS[[#This Row],[Riesgos laborales]],"Si","No")</f>
        <v>No</v>
      </c>
      <c r="AI153" s="19"/>
      <c r="AJ153" s="19" t="str">
        <f>IF(T_MEDIDAS[[#This Row],[Educación]],"Si","No")</f>
        <v>No</v>
      </c>
      <c r="AK153" s="19">
        <v>1</v>
      </c>
      <c r="AL153" s="19" t="str">
        <f>IF(T_MEDIDAS[[#This Row],[Servicios sociales]],"Si","No")</f>
        <v>Si</v>
      </c>
      <c r="AM153" s="19"/>
      <c r="AN153" s="19" t="str">
        <f>IF(T_MEDIDAS[[#This Row],[Servicios de emergencia y policía]],"Si","No")</f>
        <v>No</v>
      </c>
      <c r="AO153" s="19"/>
      <c r="AP153" s="19" t="str">
        <f>IF(T_MEDIDAS[[#This Row],[Parques y jardines]],"Si","No")</f>
        <v>No</v>
      </c>
      <c r="AQ153" s="19"/>
      <c r="AR153" s="19" t="str">
        <f>IF(T_MEDIDAS[[#This Row],[Transporte]],"Si","No")</f>
        <v>No</v>
      </c>
      <c r="AS153" s="125"/>
      <c r="AT153" s="1" t="str">
        <f>IF(T_MEDIDAS[[#This Row],[Coordinación]],"Si","No")</f>
        <v>No</v>
      </c>
      <c r="AU153" s="2">
        <v>1</v>
      </c>
      <c r="AV153" s="1">
        <v>1</v>
      </c>
      <c r="AW153" s="1">
        <v>1</v>
      </c>
      <c r="AX153" s="1">
        <v>1</v>
      </c>
      <c r="AY153" s="3">
        <v>1</v>
      </c>
      <c r="AZ153" s="43">
        <f>SUMPRODUCT($AT$15:$AX$15,T_MEDIDAS[[#This Row],[&lt;5.000]:[&gt;100.000]])</f>
        <v>1</v>
      </c>
      <c r="BA153" s="1">
        <v>1</v>
      </c>
      <c r="BB153" s="1">
        <v>1</v>
      </c>
      <c r="BC153" s="1">
        <v>1</v>
      </c>
      <c r="BD153" s="1">
        <v>1</v>
      </c>
      <c r="BE153" s="1">
        <v>1</v>
      </c>
      <c r="BF153" s="1">
        <v>1</v>
      </c>
      <c r="BG153" s="1">
        <v>1</v>
      </c>
      <c r="BH153" s="43" cm="1">
        <f t="array" ref="BH153">SUMPRODUCT(--((T_MEDIDAS[[#This Row],[Centros de salud o asistencia social]:[Escuelas / Centros de educación]] + $AZ$15:$BF$15)&gt;0))</f>
        <v>7</v>
      </c>
      <c r="BI153" s="1">
        <v>0</v>
      </c>
      <c r="BJ153" s="1">
        <v>0</v>
      </c>
      <c r="BK153" s="1">
        <v>2</v>
      </c>
      <c r="BL153" s="1">
        <v>2</v>
      </c>
      <c r="BM153" s="1">
        <v>3</v>
      </c>
      <c r="BN153" s="1">
        <v>2</v>
      </c>
      <c r="BO153" s="1">
        <v>3</v>
      </c>
      <c r="BP153" s="1">
        <v>3</v>
      </c>
      <c r="BQ153" s="47" cm="1">
        <f t="array" ref="BQ153">T_MEDIDAS[[#This Row],[Aplicación tamaño]]*(SUMPRODUCT(T_MEDIDAS[[#This Row],[C1_Refrigeración]:[C8_Tiempo]],TRANSPOSE('2.PONDERACIÓN'!$L$13:$L$20))+(ROW(C153)-ROW($C$18)+1)*0.0000000001)*100</f>
        <v>187.50000136</v>
      </c>
      <c r="BR153" s="84"/>
      <c r="BS153" s="90"/>
    </row>
    <row r="154" spans="1:71" ht="34.5">
      <c r="A154" s="84"/>
      <c r="B154" s="90"/>
      <c r="C154" s="84"/>
      <c r="D154" s="43">
        <f>IF(T_MEDIDAS[[#This Row],[Peso Criterios]]&lt;=0,"",_xlfn.RANK.EQ(T_MEDIDAS[[#This Row],[Peso Criterios]],T_MEDIDAS[Peso Criterios]))</f>
        <v>45</v>
      </c>
      <c r="E154" s="116" t="s">
        <v>430</v>
      </c>
      <c r="F154" s="126" t="s">
        <v>70</v>
      </c>
      <c r="G154" s="126" t="s">
        <v>50</v>
      </c>
      <c r="H154" s="126" t="s">
        <v>151</v>
      </c>
      <c r="I154" s="126" t="s">
        <v>431</v>
      </c>
      <c r="J154" s="126"/>
      <c r="K154" s="120">
        <v>1</v>
      </c>
      <c r="L154" s="19"/>
      <c r="M154" s="19"/>
      <c r="N154" s="121" t="str">
        <f t="shared" si="8"/>
        <v>€</v>
      </c>
      <c r="O154" s="122"/>
      <c r="P154" s="122"/>
      <c r="Q154" s="20">
        <v>1</v>
      </c>
      <c r="R154" s="122">
        <v>1</v>
      </c>
      <c r="S154" s="34" t="str">
        <f>IF(T_MEDIDAS[[#This Row],[No risk (0)]]=1,"■","")</f>
        <v/>
      </c>
      <c r="T154" s="35" t="str">
        <f>IF(T_MEDIDAS[[#This Row],[Low risk (1)]]=1,"■","")</f>
        <v/>
      </c>
      <c r="U154" s="36" t="str">
        <f>IF(T_MEDIDAS[[#This Row],[Medidaium risk (2)]]=1,"■","")</f>
        <v>■</v>
      </c>
      <c r="V154" s="81" t="str">
        <f>IF(T_MEDIDAS[[#This Row],[High risk (3)]]=1,"■","")</f>
        <v>■</v>
      </c>
      <c r="W154" s="19" t="str">
        <f t="shared" si="9"/>
        <v>4. Alto (Rojo)</v>
      </c>
      <c r="X154" s="19">
        <f>COUNT(T_MEDIDAS[[#This Row],[Edificios públicos]:[Coordinación]])</f>
        <v>1</v>
      </c>
      <c r="Y154" s="19"/>
      <c r="Z154" s="19" t="str">
        <f>IF(T_MEDIDAS[[#This Row],[Edificios públicos]]=1,"Si","No")</f>
        <v>No</v>
      </c>
      <c r="AA154" s="19"/>
      <c r="AB154" s="19" t="str">
        <f>IF(T_MEDIDAS[[#This Row],[Planificación urbana]]=1,"Si","No")</f>
        <v>No</v>
      </c>
      <c r="AC154" s="19">
        <v>1</v>
      </c>
      <c r="AD154" s="19" t="str">
        <f>IF(T_MEDIDAS[[#This Row],[Cultura y deportes]],"Si","No")</f>
        <v>Si</v>
      </c>
      <c r="AE154" s="19"/>
      <c r="AF154" s="19" t="str">
        <f>IF(T_MEDIDAS[[#This Row],[Turismo]],"Si","No")</f>
        <v>No</v>
      </c>
      <c r="AG154" s="19"/>
      <c r="AH154" s="19" t="str">
        <f>IF(T_MEDIDAS[[#This Row],[Riesgos laborales]],"Si","No")</f>
        <v>No</v>
      </c>
      <c r="AI154" s="19"/>
      <c r="AJ154" s="19" t="str">
        <f>IF(T_MEDIDAS[[#This Row],[Educación]],"Si","No")</f>
        <v>No</v>
      </c>
      <c r="AK154" s="19"/>
      <c r="AL154" s="19" t="str">
        <f>IF(T_MEDIDAS[[#This Row],[Servicios sociales]],"Si","No")</f>
        <v>No</v>
      </c>
      <c r="AM154" s="19"/>
      <c r="AN154" s="19" t="str">
        <f>IF(T_MEDIDAS[[#This Row],[Servicios de emergencia y policía]],"Si","No")</f>
        <v>No</v>
      </c>
      <c r="AO154" s="19"/>
      <c r="AP154" s="19" t="str">
        <f>IF(T_MEDIDAS[[#This Row],[Parques y jardines]],"Si","No")</f>
        <v>No</v>
      </c>
      <c r="AQ154" s="19"/>
      <c r="AR154" s="19" t="str">
        <f>IF(T_MEDIDAS[[#This Row],[Transporte]],"Si","No")</f>
        <v>No</v>
      </c>
      <c r="AS154" s="125"/>
      <c r="AT154" s="1" t="str">
        <f>IF(T_MEDIDAS[[#This Row],[Coordinación]],"Si","No")</f>
        <v>No</v>
      </c>
      <c r="AU154" s="2">
        <v>1</v>
      </c>
      <c r="AV154" s="1">
        <v>1</v>
      </c>
      <c r="AW154" s="1">
        <v>1</v>
      </c>
      <c r="AX154" s="1">
        <v>1</v>
      </c>
      <c r="AY154" s="3">
        <v>1</v>
      </c>
      <c r="AZ154" s="43">
        <f>SUMPRODUCT($AT$15:$AX$15,T_MEDIDAS[[#This Row],[&lt;5.000]:[&gt;100.000]])</f>
        <v>1</v>
      </c>
      <c r="BA154" s="1">
        <v>1</v>
      </c>
      <c r="BB154" s="1">
        <v>1</v>
      </c>
      <c r="BC154" s="1">
        <v>1</v>
      </c>
      <c r="BD154" s="1">
        <v>1</v>
      </c>
      <c r="BE154" s="1">
        <v>1</v>
      </c>
      <c r="BF154" s="1">
        <v>1</v>
      </c>
      <c r="BG154" s="1">
        <v>1</v>
      </c>
      <c r="BH154" s="43" cm="1">
        <f t="array" ref="BH154">SUMPRODUCT(--((T_MEDIDAS[[#This Row],[Centros de salud o asistencia social]:[Escuelas / Centros de educación]] + $AZ$15:$BF$15)&gt;0))</f>
        <v>7</v>
      </c>
      <c r="BI154" s="44">
        <v>0</v>
      </c>
      <c r="BJ154" s="44">
        <v>0</v>
      </c>
      <c r="BK154" s="44">
        <v>2</v>
      </c>
      <c r="BL154" s="44">
        <v>2</v>
      </c>
      <c r="BM154" s="44">
        <v>3</v>
      </c>
      <c r="BN154" s="44">
        <v>2</v>
      </c>
      <c r="BO154" s="44">
        <v>3</v>
      </c>
      <c r="BP154" s="44">
        <v>3</v>
      </c>
      <c r="BQ154" s="47" cm="1">
        <f t="array" ref="BQ154">T_MEDIDAS[[#This Row],[Aplicación tamaño]]*(SUMPRODUCT(T_MEDIDAS[[#This Row],[C1_Refrigeración]:[C8_Tiempo]],TRANSPOSE('2.PONDERACIÓN'!$L$13:$L$20))+(ROW(C154)-ROW($C$18)+1)*0.0000000001)*100</f>
        <v>187.50000137000001</v>
      </c>
      <c r="BR154" s="84"/>
      <c r="BS154" s="90"/>
    </row>
    <row r="155" spans="1:71" ht="34.5">
      <c r="A155" s="84"/>
      <c r="B155" s="90"/>
      <c r="C155" s="84"/>
      <c r="D155" s="43">
        <f>IF(T_MEDIDAS[[#This Row],[Peso Criterios]]&lt;=0,"",_xlfn.RANK.EQ(T_MEDIDAS[[#This Row],[Peso Criterios]],T_MEDIDAS[Peso Criterios]))</f>
        <v>44</v>
      </c>
      <c r="E155" s="116" t="s">
        <v>432</v>
      </c>
      <c r="F155" s="126" t="s">
        <v>70</v>
      </c>
      <c r="G155" s="126" t="s">
        <v>50</v>
      </c>
      <c r="H155" s="126" t="s">
        <v>151</v>
      </c>
      <c r="I155" s="126" t="s">
        <v>433</v>
      </c>
      <c r="J155" s="126"/>
      <c r="K155" s="120">
        <v>1</v>
      </c>
      <c r="L155" s="19"/>
      <c r="M155" s="19"/>
      <c r="N155" s="121" t="str">
        <f t="shared" si="8"/>
        <v>€</v>
      </c>
      <c r="O155" s="122"/>
      <c r="P155" s="122"/>
      <c r="Q155" s="20">
        <v>1</v>
      </c>
      <c r="R155" s="122">
        <v>1</v>
      </c>
      <c r="S155" s="34" t="str">
        <f>IF(T_MEDIDAS[[#This Row],[No risk (0)]]=1,"■","")</f>
        <v/>
      </c>
      <c r="T155" s="35" t="str">
        <f>IF(T_MEDIDAS[[#This Row],[Low risk (1)]]=1,"■","")</f>
        <v/>
      </c>
      <c r="U155" s="36" t="str">
        <f>IF(T_MEDIDAS[[#This Row],[Medidaium risk (2)]]=1,"■","")</f>
        <v>■</v>
      </c>
      <c r="V155" s="81" t="str">
        <f>IF(T_MEDIDAS[[#This Row],[High risk (3)]]=1,"■","")</f>
        <v>■</v>
      </c>
      <c r="W155" s="19" t="str">
        <f t="shared" si="9"/>
        <v>4. Alto (Rojo)</v>
      </c>
      <c r="X155" s="19">
        <f>COUNT(T_MEDIDAS[[#This Row],[Edificios públicos]:[Coordinación]])</f>
        <v>1</v>
      </c>
      <c r="Y155" s="19"/>
      <c r="Z155" s="19" t="str">
        <f>IF(T_MEDIDAS[[#This Row],[Edificios públicos]]=1,"Si","No")</f>
        <v>No</v>
      </c>
      <c r="AA155" s="19"/>
      <c r="AB155" s="19" t="str">
        <f>IF(T_MEDIDAS[[#This Row],[Planificación urbana]]=1,"Si","No")</f>
        <v>No</v>
      </c>
      <c r="AC155" s="19">
        <v>1</v>
      </c>
      <c r="AD155" s="19" t="str">
        <f>IF(T_MEDIDAS[[#This Row],[Cultura y deportes]],"Si","No")</f>
        <v>Si</v>
      </c>
      <c r="AE155" s="19"/>
      <c r="AF155" s="19" t="str">
        <f>IF(T_MEDIDAS[[#This Row],[Turismo]],"Si","No")</f>
        <v>No</v>
      </c>
      <c r="AG155" s="19"/>
      <c r="AH155" s="19" t="str">
        <f>IF(T_MEDIDAS[[#This Row],[Riesgos laborales]],"Si","No")</f>
        <v>No</v>
      </c>
      <c r="AI155" s="19"/>
      <c r="AJ155" s="19" t="str">
        <f>IF(T_MEDIDAS[[#This Row],[Educación]],"Si","No")</f>
        <v>No</v>
      </c>
      <c r="AK155" s="19"/>
      <c r="AL155" s="19" t="str">
        <f>IF(T_MEDIDAS[[#This Row],[Servicios sociales]],"Si","No")</f>
        <v>No</v>
      </c>
      <c r="AM155" s="19"/>
      <c r="AN155" s="19" t="str">
        <f>IF(T_MEDIDAS[[#This Row],[Servicios de emergencia y policía]],"Si","No")</f>
        <v>No</v>
      </c>
      <c r="AO155" s="19"/>
      <c r="AP155" s="19" t="str">
        <f>IF(T_MEDIDAS[[#This Row],[Parques y jardines]],"Si","No")</f>
        <v>No</v>
      </c>
      <c r="AQ155" s="19"/>
      <c r="AR155" s="19" t="str">
        <f>IF(T_MEDIDAS[[#This Row],[Transporte]],"Si","No")</f>
        <v>No</v>
      </c>
      <c r="AS155" s="125"/>
      <c r="AT155" s="1" t="str">
        <f>IF(T_MEDIDAS[[#This Row],[Coordinación]],"Si","No")</f>
        <v>No</v>
      </c>
      <c r="AU155" s="2">
        <v>1</v>
      </c>
      <c r="AV155" s="1">
        <v>1</v>
      </c>
      <c r="AW155" s="1">
        <v>1</v>
      </c>
      <c r="AX155" s="1">
        <v>1</v>
      </c>
      <c r="AY155" s="3">
        <v>1</v>
      </c>
      <c r="AZ155" s="43">
        <f>SUMPRODUCT($AT$15:$AX$15,T_MEDIDAS[[#This Row],[&lt;5.000]:[&gt;100.000]])</f>
        <v>1</v>
      </c>
      <c r="BA155" s="1">
        <v>1</v>
      </c>
      <c r="BB155" s="1">
        <v>1</v>
      </c>
      <c r="BC155" s="1">
        <v>1</v>
      </c>
      <c r="BD155" s="1">
        <v>1</v>
      </c>
      <c r="BE155" s="1">
        <v>1</v>
      </c>
      <c r="BF155" s="1">
        <v>1</v>
      </c>
      <c r="BG155" s="1">
        <v>1</v>
      </c>
      <c r="BH155" s="43" cm="1">
        <f t="array" ref="BH155">SUMPRODUCT(--((T_MEDIDAS[[#This Row],[Centros de salud o asistencia social]:[Escuelas / Centros de educación]] + $AZ$15:$BF$15)&gt;0))</f>
        <v>7</v>
      </c>
      <c r="BI155" s="1">
        <v>0</v>
      </c>
      <c r="BJ155" s="1">
        <v>0</v>
      </c>
      <c r="BK155" s="1">
        <v>2</v>
      </c>
      <c r="BL155" s="1">
        <v>2</v>
      </c>
      <c r="BM155" s="1">
        <v>3</v>
      </c>
      <c r="BN155" s="1">
        <v>2</v>
      </c>
      <c r="BO155" s="1">
        <v>3</v>
      </c>
      <c r="BP155" s="1">
        <v>3</v>
      </c>
      <c r="BQ155" s="47" cm="1">
        <f t="array" ref="BQ155">T_MEDIDAS[[#This Row],[Aplicación tamaño]]*(SUMPRODUCT(T_MEDIDAS[[#This Row],[C1_Refrigeración]:[C8_Tiempo]],TRANSPOSE('2.PONDERACIÓN'!$L$13:$L$20))+(ROW(C155)-ROW($C$18)+1)*0.0000000001)*100</f>
        <v>187.50000138000001</v>
      </c>
      <c r="BR155" s="84"/>
      <c r="BS155" s="90"/>
    </row>
    <row r="156" spans="1:71" ht="34.5">
      <c r="A156" s="84"/>
      <c r="B156" s="90"/>
      <c r="C156" s="84"/>
      <c r="D156" s="43">
        <f>IF(T_MEDIDAS[[#This Row],[Peso Criterios]]&lt;=0,"",_xlfn.RANK.EQ(T_MEDIDAS[[#This Row],[Peso Criterios]],T_MEDIDAS[Peso Criterios]))</f>
        <v>43</v>
      </c>
      <c r="E156" s="116" t="s">
        <v>434</v>
      </c>
      <c r="F156" s="126" t="s">
        <v>70</v>
      </c>
      <c r="G156" s="126" t="s">
        <v>53</v>
      </c>
      <c r="H156" s="126" t="s">
        <v>392</v>
      </c>
      <c r="I156" s="126" t="s">
        <v>435</v>
      </c>
      <c r="J156" s="126"/>
      <c r="K156" s="120">
        <v>1</v>
      </c>
      <c r="L156" s="19"/>
      <c r="M156" s="19"/>
      <c r="N156" s="121" t="str">
        <f t="shared" si="8"/>
        <v>€</v>
      </c>
      <c r="O156" s="122"/>
      <c r="P156" s="122"/>
      <c r="Q156" s="20">
        <v>1</v>
      </c>
      <c r="R156" s="122">
        <v>1</v>
      </c>
      <c r="S156" s="34" t="str">
        <f>IF(T_MEDIDAS[[#This Row],[No risk (0)]]=1,"■","")</f>
        <v/>
      </c>
      <c r="T156" s="35" t="str">
        <f>IF(T_MEDIDAS[[#This Row],[Low risk (1)]]=1,"■","")</f>
        <v/>
      </c>
      <c r="U156" s="36" t="str">
        <f>IF(T_MEDIDAS[[#This Row],[Medidaium risk (2)]]=1,"■","")</f>
        <v>■</v>
      </c>
      <c r="V156" s="81" t="str">
        <f>IF(T_MEDIDAS[[#This Row],[High risk (3)]]=1,"■","")</f>
        <v>■</v>
      </c>
      <c r="W156" s="19" t="str">
        <f t="shared" si="9"/>
        <v>4. Alto (Rojo)</v>
      </c>
      <c r="X156" s="19">
        <f>COUNT(T_MEDIDAS[[#This Row],[Edificios públicos]:[Coordinación]])</f>
        <v>1</v>
      </c>
      <c r="Y156" s="19"/>
      <c r="Z156" s="19" t="str">
        <f>IF(T_MEDIDAS[[#This Row],[Edificios públicos]]=1,"Si","No")</f>
        <v>No</v>
      </c>
      <c r="AA156" s="19"/>
      <c r="AB156" s="19" t="str">
        <f>IF(T_MEDIDAS[[#This Row],[Planificación urbana]]=1,"Si","No")</f>
        <v>No</v>
      </c>
      <c r="AC156" s="19"/>
      <c r="AD156" s="19" t="str">
        <f>IF(T_MEDIDAS[[#This Row],[Cultura y deportes]],"Si","No")</f>
        <v>No</v>
      </c>
      <c r="AE156" s="19">
        <v>1</v>
      </c>
      <c r="AF156" s="19" t="str">
        <f>IF(T_MEDIDAS[[#This Row],[Turismo]],"Si","No")</f>
        <v>Si</v>
      </c>
      <c r="AG156" s="19"/>
      <c r="AH156" s="19" t="str">
        <f>IF(T_MEDIDAS[[#This Row],[Riesgos laborales]],"Si","No")</f>
        <v>No</v>
      </c>
      <c r="AI156" s="19"/>
      <c r="AJ156" s="19" t="str">
        <f>IF(T_MEDIDAS[[#This Row],[Educación]],"Si","No")</f>
        <v>No</v>
      </c>
      <c r="AK156" s="19"/>
      <c r="AL156" s="19" t="str">
        <f>IF(T_MEDIDAS[[#This Row],[Servicios sociales]],"Si","No")</f>
        <v>No</v>
      </c>
      <c r="AM156" s="19"/>
      <c r="AN156" s="19" t="str">
        <f>IF(T_MEDIDAS[[#This Row],[Servicios de emergencia y policía]],"Si","No")</f>
        <v>No</v>
      </c>
      <c r="AO156" s="19"/>
      <c r="AP156" s="19" t="str">
        <f>IF(T_MEDIDAS[[#This Row],[Parques y jardines]],"Si","No")</f>
        <v>No</v>
      </c>
      <c r="AQ156" s="19"/>
      <c r="AR156" s="19" t="str">
        <f>IF(T_MEDIDAS[[#This Row],[Transporte]],"Si","No")</f>
        <v>No</v>
      </c>
      <c r="AS156" s="125"/>
      <c r="AT156" s="1" t="str">
        <f>IF(T_MEDIDAS[[#This Row],[Coordinación]],"Si","No")</f>
        <v>No</v>
      </c>
      <c r="AU156" s="2">
        <v>1</v>
      </c>
      <c r="AV156" s="1">
        <v>1</v>
      </c>
      <c r="AW156" s="1">
        <v>1</v>
      </c>
      <c r="AX156" s="1">
        <v>1</v>
      </c>
      <c r="AY156" s="3">
        <v>1</v>
      </c>
      <c r="AZ156" s="43">
        <f>SUMPRODUCT($AT$15:$AX$15,T_MEDIDAS[[#This Row],[&lt;5.000]:[&gt;100.000]])</f>
        <v>1</v>
      </c>
      <c r="BA156" s="1">
        <v>1</v>
      </c>
      <c r="BB156" s="1">
        <v>1</v>
      </c>
      <c r="BC156" s="1">
        <v>1</v>
      </c>
      <c r="BD156" s="1">
        <v>1</v>
      </c>
      <c r="BE156" s="1">
        <v>1</v>
      </c>
      <c r="BF156" s="1">
        <v>1</v>
      </c>
      <c r="BG156" s="1">
        <v>1</v>
      </c>
      <c r="BH156" s="43" cm="1">
        <f t="array" ref="BH156">SUMPRODUCT(--((T_MEDIDAS[[#This Row],[Centros de salud o asistencia social]:[Escuelas / Centros de educación]] + $AZ$15:$BF$15)&gt;0))</f>
        <v>7</v>
      </c>
      <c r="BI156" s="44">
        <v>0</v>
      </c>
      <c r="BJ156" s="44">
        <v>0</v>
      </c>
      <c r="BK156" s="44">
        <v>2</v>
      </c>
      <c r="BL156" s="44">
        <v>2</v>
      </c>
      <c r="BM156" s="44">
        <v>3</v>
      </c>
      <c r="BN156" s="44">
        <v>2</v>
      </c>
      <c r="BO156" s="44">
        <v>3</v>
      </c>
      <c r="BP156" s="44">
        <v>3</v>
      </c>
      <c r="BQ156" s="47" cm="1">
        <f t="array" ref="BQ156">T_MEDIDAS[[#This Row],[Aplicación tamaño]]*(SUMPRODUCT(T_MEDIDAS[[#This Row],[C1_Refrigeración]:[C8_Tiempo]],TRANSPOSE('2.PONDERACIÓN'!$L$13:$L$20))+(ROW(C156)-ROW($C$18)+1)*0.0000000001)*100</f>
        <v>187.50000138999999</v>
      </c>
      <c r="BR156" s="84"/>
      <c r="BS156" s="90"/>
    </row>
    <row r="157" spans="1:71" ht="34.5">
      <c r="A157" s="84"/>
      <c r="B157" s="90"/>
      <c r="C157" s="84"/>
      <c r="D157" s="43">
        <f>IF(T_MEDIDAS[[#This Row],[Peso Criterios]]&lt;=0,"",_xlfn.RANK.EQ(T_MEDIDAS[[#This Row],[Peso Criterios]],T_MEDIDAS[Peso Criterios]))</f>
        <v>10</v>
      </c>
      <c r="E157" s="116" t="s">
        <v>436</v>
      </c>
      <c r="F157" s="126" t="s">
        <v>70</v>
      </c>
      <c r="G157" s="126" t="s">
        <v>53</v>
      </c>
      <c r="H157" s="126" t="s">
        <v>392</v>
      </c>
      <c r="I157" s="126" t="s">
        <v>437</v>
      </c>
      <c r="J157" s="126"/>
      <c r="K157" s="120">
        <v>1</v>
      </c>
      <c r="L157" s="19"/>
      <c r="M157" s="19"/>
      <c r="N157" s="121" t="str">
        <f t="shared" si="8"/>
        <v>€</v>
      </c>
      <c r="O157" s="122"/>
      <c r="P157" s="122">
        <v>1</v>
      </c>
      <c r="Q157" s="20">
        <v>1</v>
      </c>
      <c r="R157" s="122">
        <v>1</v>
      </c>
      <c r="S157" s="34" t="str">
        <f>IF(T_MEDIDAS[[#This Row],[No risk (0)]]=1,"■","")</f>
        <v/>
      </c>
      <c r="T157" s="35" t="str">
        <f>IF(T_MEDIDAS[[#This Row],[Low risk (1)]]=1,"■","")</f>
        <v>■</v>
      </c>
      <c r="U157" s="36" t="str">
        <f>IF(T_MEDIDAS[[#This Row],[Medidaium risk (2)]]=1,"■","")</f>
        <v>■</v>
      </c>
      <c r="V157" s="81" t="str">
        <f>IF(T_MEDIDAS[[#This Row],[High risk (3)]]=1,"■","")</f>
        <v>■</v>
      </c>
      <c r="W157" s="19" t="str">
        <f t="shared" si="9"/>
        <v>4. Alto (Rojo)</v>
      </c>
      <c r="X157" s="19">
        <f>COUNT(T_MEDIDAS[[#This Row],[Edificios públicos]:[Coordinación]])</f>
        <v>2</v>
      </c>
      <c r="Y157" s="19">
        <v>1</v>
      </c>
      <c r="Z157" s="19" t="str">
        <f>IF(T_MEDIDAS[[#This Row],[Edificios públicos]]=1,"Si","No")</f>
        <v>Si</v>
      </c>
      <c r="AA157" s="19">
        <v>1</v>
      </c>
      <c r="AB157" s="19" t="str">
        <f>IF(T_MEDIDAS[[#This Row],[Planificación urbana]]=1,"Si","No")</f>
        <v>Si</v>
      </c>
      <c r="AC157" s="19"/>
      <c r="AD157" s="19" t="str">
        <f>IF(T_MEDIDAS[[#This Row],[Cultura y deportes]],"Si","No")</f>
        <v>No</v>
      </c>
      <c r="AE157" s="19"/>
      <c r="AF157" s="19" t="str">
        <f>IF(T_MEDIDAS[[#This Row],[Turismo]],"Si","No")</f>
        <v>No</v>
      </c>
      <c r="AG157" s="19"/>
      <c r="AH157" s="19" t="str">
        <f>IF(T_MEDIDAS[[#This Row],[Riesgos laborales]],"Si","No")</f>
        <v>No</v>
      </c>
      <c r="AI157" s="19"/>
      <c r="AJ157" s="19" t="str">
        <f>IF(T_MEDIDAS[[#This Row],[Educación]],"Si","No")</f>
        <v>No</v>
      </c>
      <c r="AK157" s="19"/>
      <c r="AL157" s="19" t="str">
        <f>IF(T_MEDIDAS[[#This Row],[Servicios sociales]],"Si","No")</f>
        <v>No</v>
      </c>
      <c r="AM157" s="19"/>
      <c r="AN157" s="19" t="str">
        <f>IF(T_MEDIDAS[[#This Row],[Servicios de emergencia y policía]],"Si","No")</f>
        <v>No</v>
      </c>
      <c r="AO157" s="19"/>
      <c r="AP157" s="19" t="str">
        <f>IF(T_MEDIDAS[[#This Row],[Parques y jardines]],"Si","No")</f>
        <v>No</v>
      </c>
      <c r="AQ157" s="19"/>
      <c r="AR157" s="19" t="str">
        <f>IF(T_MEDIDAS[[#This Row],[Transporte]],"Si","No")</f>
        <v>No</v>
      </c>
      <c r="AS157" s="125"/>
      <c r="AT157" s="1" t="str">
        <f>IF(T_MEDIDAS[[#This Row],[Coordinación]],"Si","No")</f>
        <v>No</v>
      </c>
      <c r="AU157" s="2">
        <v>1</v>
      </c>
      <c r="AV157" s="1">
        <v>1</v>
      </c>
      <c r="AW157" s="1">
        <v>1</v>
      </c>
      <c r="AX157" s="1">
        <v>1</v>
      </c>
      <c r="AY157" s="3">
        <v>1</v>
      </c>
      <c r="AZ157" s="43">
        <f>SUMPRODUCT($AT$15:$AX$15,T_MEDIDAS[[#This Row],[&lt;5.000]:[&gt;100.000]])</f>
        <v>1</v>
      </c>
      <c r="BA157" s="1">
        <v>1</v>
      </c>
      <c r="BB157" s="1">
        <v>1</v>
      </c>
      <c r="BC157" s="1">
        <v>1</v>
      </c>
      <c r="BD157" s="1">
        <v>1</v>
      </c>
      <c r="BE157" s="1">
        <v>1</v>
      </c>
      <c r="BF157" s="1">
        <v>1</v>
      </c>
      <c r="BG157" s="1">
        <v>1</v>
      </c>
      <c r="BH157" s="43" cm="1">
        <f t="array" ref="BH157">SUMPRODUCT(--((T_MEDIDAS[[#This Row],[Centros de salud o asistencia social]:[Escuelas / Centros de educación]] + $AZ$15:$BF$15)&gt;0))</f>
        <v>7</v>
      </c>
      <c r="BI157" s="1">
        <v>0</v>
      </c>
      <c r="BJ157" s="1">
        <v>0</v>
      </c>
      <c r="BK157" s="1">
        <v>2</v>
      </c>
      <c r="BL157" s="1">
        <v>3</v>
      </c>
      <c r="BM157" s="1">
        <v>3</v>
      </c>
      <c r="BN157" s="1">
        <v>2</v>
      </c>
      <c r="BO157" s="1">
        <v>3</v>
      </c>
      <c r="BP157" s="1">
        <v>3</v>
      </c>
      <c r="BQ157" s="47" cm="1">
        <f t="array" ref="BQ157">T_MEDIDAS[[#This Row],[Aplicación tamaño]]*(SUMPRODUCT(T_MEDIDAS[[#This Row],[C1_Refrigeración]:[C8_Tiempo]],TRANSPOSE('2.PONDERACIÓN'!$L$13:$L$20))+(ROW(C157)-ROW($C$18)+1)*0.0000000001)*100</f>
        <v>200.00000139999997</v>
      </c>
      <c r="BR157" s="84"/>
      <c r="BS157" s="90"/>
    </row>
    <row r="158" spans="1:71" ht="43.5">
      <c r="A158" s="84"/>
      <c r="B158" s="90"/>
      <c r="C158" s="84"/>
      <c r="D158" s="43">
        <f>IF(T_MEDIDAS[[#This Row],[Peso Criterios]]&lt;=0,"",_xlfn.RANK.EQ(T_MEDIDAS[[#This Row],[Peso Criterios]],T_MEDIDAS[Peso Criterios]))</f>
        <v>107</v>
      </c>
      <c r="E158" s="116" t="s">
        <v>438</v>
      </c>
      <c r="F158" s="126" t="s">
        <v>70</v>
      </c>
      <c r="G158" s="126" t="s">
        <v>53</v>
      </c>
      <c r="H158" s="126" t="s">
        <v>392</v>
      </c>
      <c r="I158" s="126" t="s">
        <v>439</v>
      </c>
      <c r="J158" s="126"/>
      <c r="K158" s="120">
        <v>1</v>
      </c>
      <c r="L158" s="19"/>
      <c r="M158" s="19"/>
      <c r="N158" s="121" t="str">
        <f t="shared" si="8"/>
        <v>€</v>
      </c>
      <c r="O158" s="122"/>
      <c r="P158" s="122">
        <v>1</v>
      </c>
      <c r="Q158" s="20">
        <v>1</v>
      </c>
      <c r="R158" s="122">
        <v>1</v>
      </c>
      <c r="S158" s="34" t="str">
        <f>IF(T_MEDIDAS[[#This Row],[No risk (0)]]=1,"■","")</f>
        <v/>
      </c>
      <c r="T158" s="35" t="str">
        <f>IF(T_MEDIDAS[[#This Row],[Low risk (1)]]=1,"■","")</f>
        <v>■</v>
      </c>
      <c r="U158" s="36" t="str">
        <f>IF(T_MEDIDAS[[#This Row],[Medidaium risk (2)]]=1,"■","")</f>
        <v>■</v>
      </c>
      <c r="V158" s="81" t="str">
        <f>IF(T_MEDIDAS[[#This Row],[High risk (3)]]=1,"■","")</f>
        <v>■</v>
      </c>
      <c r="W158" s="19" t="str">
        <f t="shared" si="9"/>
        <v>4. Alto (Rojo)</v>
      </c>
      <c r="X158" s="19">
        <f>COUNT(T_MEDIDAS[[#This Row],[Edificios públicos]:[Coordinación]])</f>
        <v>1</v>
      </c>
      <c r="Y158" s="19"/>
      <c r="Z158" s="19" t="str">
        <f>IF(T_MEDIDAS[[#This Row],[Edificios públicos]]=1,"Si","No")</f>
        <v>No</v>
      </c>
      <c r="AA158" s="19"/>
      <c r="AB158" s="19" t="str">
        <f>IF(T_MEDIDAS[[#This Row],[Planificación urbana]]=1,"Si","No")</f>
        <v>No</v>
      </c>
      <c r="AC158" s="19"/>
      <c r="AD158" s="19" t="str">
        <f>IF(T_MEDIDAS[[#This Row],[Cultura y deportes]],"Si","No")</f>
        <v>No</v>
      </c>
      <c r="AE158" s="19"/>
      <c r="AF158" s="19" t="str">
        <f>IF(T_MEDIDAS[[#This Row],[Turismo]],"Si","No")</f>
        <v>No</v>
      </c>
      <c r="AG158" s="19"/>
      <c r="AH158" s="19" t="str">
        <f>IF(T_MEDIDAS[[#This Row],[Riesgos laborales]],"Si","No")</f>
        <v>No</v>
      </c>
      <c r="AI158" s="19"/>
      <c r="AJ158" s="19" t="str">
        <f>IF(T_MEDIDAS[[#This Row],[Educación]],"Si","No")</f>
        <v>No</v>
      </c>
      <c r="AK158" s="19"/>
      <c r="AL158" s="19" t="str">
        <f>IF(T_MEDIDAS[[#This Row],[Servicios sociales]],"Si","No")</f>
        <v>No</v>
      </c>
      <c r="AM158" s="19"/>
      <c r="AN158" s="19" t="str">
        <f>IF(T_MEDIDAS[[#This Row],[Servicios de emergencia y policía]],"Si","No")</f>
        <v>No</v>
      </c>
      <c r="AO158" s="19"/>
      <c r="AP158" s="19" t="str">
        <f>IF(T_MEDIDAS[[#This Row],[Parques y jardines]],"Si","No")</f>
        <v>No</v>
      </c>
      <c r="AQ158" s="19"/>
      <c r="AR158" s="19" t="str">
        <f>IF(T_MEDIDAS[[#This Row],[Transporte]],"Si","No")</f>
        <v>No</v>
      </c>
      <c r="AS158" s="125">
        <v>1</v>
      </c>
      <c r="AT158" s="1" t="str">
        <f>IF(T_MEDIDAS[[#This Row],[Coordinación]],"Si","No")</f>
        <v>Si</v>
      </c>
      <c r="AU158" s="2">
        <v>1</v>
      </c>
      <c r="AV158" s="1">
        <v>1</v>
      </c>
      <c r="AW158" s="1">
        <v>1</v>
      </c>
      <c r="AX158" s="1">
        <v>1</v>
      </c>
      <c r="AY158" s="3">
        <v>1</v>
      </c>
      <c r="AZ158" s="43">
        <f>SUMPRODUCT($AT$15:$AX$15,T_MEDIDAS[[#This Row],[&lt;5.000]:[&gt;100.000]])</f>
        <v>1</v>
      </c>
      <c r="BA158" s="1">
        <v>1</v>
      </c>
      <c r="BB158" s="1">
        <v>1</v>
      </c>
      <c r="BC158" s="1">
        <v>1</v>
      </c>
      <c r="BD158" s="1">
        <v>1</v>
      </c>
      <c r="BE158" s="1">
        <v>1</v>
      </c>
      <c r="BF158" s="1">
        <v>1</v>
      </c>
      <c r="BG158" s="1">
        <v>1</v>
      </c>
      <c r="BH158" s="43" cm="1">
        <f t="array" ref="BH158">SUMPRODUCT(--((T_MEDIDAS[[#This Row],[Centros de salud o asistencia social]:[Escuelas / Centros de educación]] + $AZ$15:$BF$15)&gt;0))</f>
        <v>7</v>
      </c>
      <c r="BI158" s="44">
        <v>0</v>
      </c>
      <c r="BJ158" s="44">
        <v>0</v>
      </c>
      <c r="BK158" s="44">
        <v>2</v>
      </c>
      <c r="BL158" s="44">
        <v>3</v>
      </c>
      <c r="BM158" s="44">
        <v>2</v>
      </c>
      <c r="BN158" s="44">
        <v>2</v>
      </c>
      <c r="BO158" s="44">
        <v>2</v>
      </c>
      <c r="BP158" s="44">
        <v>2</v>
      </c>
      <c r="BQ158" s="47" cm="1">
        <f t="array" ref="BQ158">T_MEDIDAS[[#This Row],[Aplicación tamaño]]*(SUMPRODUCT(T_MEDIDAS[[#This Row],[C1_Refrigeración]:[C8_Tiempo]],TRANSPOSE('2.PONDERACIÓN'!$L$13:$L$20))+(ROW(C158)-ROW($C$18)+1)*0.0000000001)*100</f>
        <v>162.50000141000001</v>
      </c>
      <c r="BR158" s="84"/>
      <c r="BS158" s="90"/>
    </row>
    <row r="159" spans="1:71" ht="15" customHeight="1">
      <c r="A159" s="84"/>
      <c r="B159" s="90"/>
      <c r="C159" s="84"/>
      <c r="D159" s="84"/>
      <c r="E159" s="84"/>
      <c r="F159" s="84"/>
      <c r="G159" s="84"/>
      <c r="H159" s="84"/>
      <c r="I159" s="115"/>
      <c r="J159" s="84"/>
      <c r="K159" s="84"/>
      <c r="L159" s="84"/>
      <c r="M159" s="84"/>
      <c r="N159" s="84"/>
      <c r="O159" s="84"/>
      <c r="P159" s="84"/>
      <c r="Q159" s="84"/>
      <c r="R159" s="84"/>
      <c r="S159" s="84"/>
      <c r="T159" s="84"/>
      <c r="U159" s="84"/>
      <c r="V159" s="84"/>
      <c r="W159" s="84"/>
      <c r="X159" s="84"/>
      <c r="Y159" s="84"/>
      <c r="Z159" s="84"/>
      <c r="AA159" s="84"/>
      <c r="AB159" s="84"/>
      <c r="AC159" s="84"/>
      <c r="AD159" s="84"/>
      <c r="AE159" s="84"/>
      <c r="AF159" s="84"/>
      <c r="AG159" s="84"/>
      <c r="AH159" s="84"/>
      <c r="AI159" s="84"/>
      <c r="AJ159" s="84"/>
      <c r="AK159" s="84"/>
      <c r="AL159" s="84"/>
      <c r="AM159" s="84"/>
      <c r="AN159" s="84"/>
      <c r="AO159" s="84"/>
      <c r="AP159" s="84"/>
      <c r="AQ159" s="84"/>
      <c r="AR159" s="84"/>
      <c r="AS159" s="84"/>
      <c r="AT159" s="84"/>
      <c r="AU159" s="84"/>
      <c r="AV159" s="84"/>
      <c r="AW159" s="84"/>
      <c r="AX159" s="84"/>
      <c r="AY159" s="84"/>
      <c r="AZ159" s="84"/>
      <c r="BA159" s="84"/>
      <c r="BB159" s="84"/>
      <c r="BC159" s="84"/>
      <c r="BD159" s="84"/>
      <c r="BE159" s="84"/>
      <c r="BF159" s="84"/>
      <c r="BG159" s="84"/>
      <c r="BH159" s="84"/>
      <c r="BI159" s="84"/>
      <c r="BJ159" s="84"/>
      <c r="BK159" s="84"/>
      <c r="BL159" s="84"/>
      <c r="BM159" s="84"/>
      <c r="BN159" s="84"/>
      <c r="BO159" s="84"/>
      <c r="BP159" s="84"/>
      <c r="BQ159" s="84"/>
      <c r="BR159" s="84"/>
      <c r="BS159" s="90"/>
    </row>
    <row r="160" spans="1:71" ht="14.45" customHeight="1">
      <c r="A160" s="84"/>
      <c r="B160" s="90"/>
      <c r="C160" s="90"/>
      <c r="D160" s="90"/>
      <c r="E160" s="90"/>
      <c r="F160" s="90"/>
      <c r="G160" s="90"/>
      <c r="H160" s="90"/>
      <c r="I160" s="113"/>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90"/>
      <c r="AX160" s="90"/>
      <c r="AY160" s="90"/>
      <c r="AZ160" s="90"/>
      <c r="BA160" s="90"/>
      <c r="BB160" s="90"/>
      <c r="BC160" s="90"/>
      <c r="BD160" s="90"/>
      <c r="BE160" s="90"/>
      <c r="BF160" s="90"/>
      <c r="BG160" s="90"/>
      <c r="BH160" s="90"/>
      <c r="BI160" s="90"/>
      <c r="BJ160" s="90"/>
      <c r="BK160" s="90"/>
      <c r="BL160" s="90"/>
      <c r="BM160" s="90"/>
      <c r="BN160" s="90"/>
      <c r="BO160" s="90"/>
      <c r="BP160" s="90"/>
      <c r="BQ160" s="90"/>
      <c r="BR160" s="90"/>
      <c r="BS160" s="90"/>
    </row>
    <row r="161" ht="15" hidden="1" customHeight="1"/>
    <row r="162" ht="15" hidden="1" customHeight="1"/>
    <row r="163" ht="15" hidden="1" customHeight="1"/>
    <row r="164" ht="15" hidden="1" customHeight="1"/>
    <row r="165" ht="15" hidden="1" customHeight="1"/>
    <row r="166" ht="15" hidden="1" customHeight="1"/>
    <row r="167" ht="15" hidden="1" customHeight="1"/>
    <row r="168" ht="15" hidden="1" customHeight="1"/>
    <row r="169" ht="15" hidden="1" customHeight="1"/>
    <row r="170" ht="15" hidden="1" customHeight="1"/>
    <row r="171" ht="15" hidden="1" customHeight="1"/>
    <row r="172" ht="15" hidden="1" customHeight="1"/>
  </sheetData>
  <sheetProtection algorithmName="SHA-512" hashValue="jYOVJ7qrxnsTtdyaRXyTi+m8DdiTQzujELwRPnwKia2YRwj3Hv1n8YOgbPLEmmfFSzkkIJpuL0S+hYLM2wuQzQ==" saltValue="HCpEO8xEhp9oMuNQefxXzA==" spinCount="100000" sheet="1" selectLockedCells="1" autoFilter="0" selectUnlockedCells="1"/>
  <mergeCells count="1">
    <mergeCell ref="H2:AR4"/>
  </mergeCells>
  <phoneticPr fontId="24" type="noConversion"/>
  <conditionalFormatting sqref="D18:D158">
    <cfRule type="top10" dxfId="69" priority="1" bottom="1" rank="10"/>
    <cfRule type="top10" dxfId="68" priority="2" rank="10"/>
  </conditionalFormatting>
  <dataValidations count="2">
    <dataValidation type="whole" allowBlank="1" showInputMessage="1" showErrorMessage="1" sqref="K18:M158 O18:R158 AU18:AY158" xr:uid="{6DB76E5B-0E16-473C-8A14-1AFF255892CE}">
      <formula1>1</formula1>
      <formula2>1</formula2>
    </dataValidation>
    <dataValidation type="whole" allowBlank="1" showInputMessage="1" showErrorMessage="1" sqref="BI18:BP158" xr:uid="{9A8D6D9B-D807-41B4-8B75-436F40EE2F93}">
      <formula1>0</formula1>
      <formula2>3</formula2>
    </dataValidation>
  </dataValidations>
  <pageMargins left="0.19685039370078741" right="0.19685039370078741" top="0.19685039370078741" bottom="0.19685039370078741" header="0.31496062992125984" footer="0"/>
  <pageSetup paperSize="9" scale="49" fitToHeight="0" orientation="landscape"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32" id="{8F90D1A3-7DB2-45E9-97B3-5D29FCF2CBF0}">
            <x14:iconSet iconSet="3Stars" showValue="0" custom="1">
              <x14:cfvo type="percent">
                <xm:f>0</xm:f>
              </x14:cfvo>
              <x14:cfvo type="num" gte="0">
                <xm:f>0</xm:f>
              </x14:cfvo>
              <x14:cfvo type="num">
                <xm:f>1</xm:f>
              </x14:cfvo>
              <x14:cfIcon iconSet="NoIcons" iconId="0"/>
              <x14:cfIcon iconSet="NoIcons" iconId="0"/>
              <x14:cfIcon iconSet="3Symbols2" iconId="2"/>
            </x14:iconSet>
          </x14:cfRule>
          <xm:sqref>Y18:AT158</xm:sqref>
        </x14:conditionalFormatting>
      </x14:conditionalFormattings>
    </ext>
    <ext xmlns:x15="http://schemas.microsoft.com/office/spreadsheetml/2010/11/main" uri="{3A4CF648-6AED-40f4-86FF-DC5316D8AED3}">
      <x14:slicerList xmlns:x14="http://schemas.microsoft.com/office/spreadsheetml/2009/9/main">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JUSTO JOSE VELA RODENAS</dc:creator>
  <cp:keywords/>
  <dc:description/>
  <cp:lastModifiedBy>Usuario invitado</cp:lastModifiedBy>
  <cp:revision/>
  <dcterms:created xsi:type="dcterms:W3CDTF">2025-11-25T10:10:20Z</dcterms:created>
  <dcterms:modified xsi:type="dcterms:W3CDTF">2026-04-01T08:17:22Z</dcterms:modified>
  <cp:category/>
  <cp:contentStatus/>
</cp:coreProperties>
</file>